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abdyraeva\Desktop\"/>
    </mc:Choice>
  </mc:AlternateContent>
  <bookViews>
    <workbookView xWindow="0" yWindow="0" windowWidth="28800" windowHeight="12435"/>
  </bookViews>
  <sheets>
    <sheet name="88 створов" sheetId="1" r:id="rId1"/>
  </sheets>
  <calcPr calcId="152511"/>
</workbook>
</file>

<file path=xl/calcChain.xml><?xml version="1.0" encoding="utf-8"?>
<calcChain xmlns="http://schemas.openxmlformats.org/spreadsheetml/2006/main">
  <c r="N249" i="1" l="1"/>
  <c r="L249" i="1"/>
  <c r="L248" i="1"/>
  <c r="K248" i="1"/>
  <c r="I248" i="1"/>
  <c r="F248" i="1"/>
  <c r="C248" i="1"/>
  <c r="L247" i="1"/>
  <c r="K247" i="1"/>
  <c r="I247" i="1"/>
  <c r="F247" i="1"/>
  <c r="C247" i="1"/>
  <c r="T245" i="1"/>
  <c r="Q245" i="1"/>
  <c r="O245" i="1"/>
  <c r="L245" i="1"/>
  <c r="K245" i="1"/>
  <c r="I245" i="1"/>
  <c r="F245" i="1"/>
  <c r="C245" i="1"/>
  <c r="B244" i="1"/>
  <c r="N241" i="1"/>
  <c r="L241" i="1"/>
  <c r="T240" i="1"/>
  <c r="R240" i="1"/>
  <c r="P240" i="1"/>
  <c r="O240" i="1"/>
  <c r="L240" i="1"/>
  <c r="K240" i="1"/>
  <c r="I240" i="1"/>
  <c r="F240" i="1"/>
  <c r="C240" i="1"/>
  <c r="N238" i="1"/>
  <c r="L238" i="1"/>
  <c r="L237" i="1"/>
  <c r="R236" i="1"/>
  <c r="P236" i="1"/>
  <c r="O236" i="1"/>
  <c r="L236" i="1"/>
  <c r="K236" i="1"/>
  <c r="I236" i="1"/>
  <c r="F236" i="1"/>
  <c r="C236" i="1"/>
  <c r="N234" i="1"/>
  <c r="L234" i="1"/>
  <c r="T232" i="1"/>
  <c r="Q232" i="1"/>
  <c r="P232" i="1"/>
  <c r="O232" i="1"/>
  <c r="L232" i="1"/>
  <c r="K232" i="1"/>
  <c r="I232" i="1"/>
  <c r="F232" i="1"/>
  <c r="C232" i="1"/>
  <c r="N230" i="1"/>
  <c r="L230" i="1"/>
  <c r="L229" i="1"/>
  <c r="T228" i="1"/>
  <c r="R228" i="1"/>
  <c r="Q228" i="1"/>
  <c r="P228" i="1"/>
  <c r="O228" i="1"/>
  <c r="L228" i="1"/>
  <c r="K228" i="1"/>
  <c r="I228" i="1"/>
  <c r="F228" i="1"/>
  <c r="C228" i="1"/>
  <c r="N226" i="1"/>
  <c r="L226" i="1"/>
  <c r="L225" i="1"/>
  <c r="T224" i="1"/>
  <c r="Q224" i="1"/>
  <c r="P224" i="1"/>
  <c r="O224" i="1"/>
  <c r="L224" i="1"/>
  <c r="K224" i="1"/>
  <c r="I224" i="1"/>
  <c r="F224" i="1"/>
  <c r="C224" i="1"/>
  <c r="N223" i="1"/>
  <c r="L223" i="1"/>
  <c r="L222" i="1"/>
  <c r="K222" i="1"/>
  <c r="I222" i="1"/>
  <c r="F222" i="1"/>
  <c r="C222" i="1"/>
  <c r="L221" i="1"/>
  <c r="K221" i="1"/>
  <c r="I221" i="1"/>
  <c r="F221" i="1"/>
  <c r="C221" i="1"/>
  <c r="L220" i="1"/>
  <c r="K220" i="1"/>
  <c r="I220" i="1"/>
  <c r="F220" i="1"/>
  <c r="C220" i="1"/>
  <c r="N219" i="1"/>
  <c r="L219" i="1"/>
  <c r="T218" i="1"/>
  <c r="R218" i="1"/>
  <c r="Q218" i="1"/>
  <c r="O218" i="1"/>
  <c r="L218" i="1"/>
  <c r="K218" i="1"/>
  <c r="I218" i="1"/>
  <c r="F218" i="1"/>
  <c r="C218" i="1"/>
  <c r="N216" i="1"/>
  <c r="L216" i="1"/>
  <c r="R215" i="1"/>
  <c r="P215" i="1"/>
  <c r="O215" i="1"/>
  <c r="L215" i="1"/>
  <c r="K215" i="1"/>
  <c r="I215" i="1"/>
  <c r="F215" i="1"/>
  <c r="C215" i="1"/>
  <c r="N213" i="1"/>
  <c r="L213" i="1"/>
  <c r="L212" i="1"/>
  <c r="Q211" i="1"/>
  <c r="P211" i="1"/>
  <c r="O211" i="1"/>
  <c r="N211" i="1"/>
  <c r="L211" i="1"/>
  <c r="K211" i="1"/>
  <c r="I211" i="1"/>
  <c r="F211" i="1"/>
  <c r="C211" i="1"/>
  <c r="T208" i="1"/>
  <c r="Q208" i="1"/>
  <c r="P208" i="1"/>
  <c r="O208" i="1"/>
  <c r="L208" i="1"/>
  <c r="K208" i="1"/>
  <c r="I208" i="1"/>
  <c r="F208" i="1"/>
  <c r="C208" i="1"/>
  <c r="N206" i="1"/>
  <c r="L206" i="1"/>
  <c r="L205" i="1"/>
  <c r="Q204" i="1"/>
  <c r="P204" i="1"/>
  <c r="O204" i="1"/>
  <c r="N204" i="1"/>
  <c r="L204" i="1"/>
  <c r="K204" i="1"/>
  <c r="I204" i="1"/>
  <c r="F204" i="1"/>
  <c r="C204" i="1"/>
  <c r="N202" i="1"/>
  <c r="L202" i="1"/>
  <c r="L201" i="1"/>
  <c r="S200" i="1"/>
  <c r="P200" i="1"/>
  <c r="O200" i="1"/>
  <c r="L200" i="1"/>
  <c r="K200" i="1"/>
  <c r="I200" i="1"/>
  <c r="F200" i="1"/>
  <c r="C200" i="1"/>
  <c r="N198" i="1"/>
  <c r="L198" i="1"/>
  <c r="L197" i="1"/>
  <c r="Q196" i="1"/>
  <c r="P196" i="1"/>
  <c r="O196" i="1"/>
  <c r="L196" i="1"/>
  <c r="K196" i="1"/>
  <c r="I196" i="1"/>
  <c r="F196" i="1"/>
  <c r="C196" i="1"/>
  <c r="B195" i="1"/>
  <c r="N194" i="1"/>
  <c r="L194" i="1"/>
  <c r="L193" i="1"/>
  <c r="L192" i="1"/>
  <c r="S191" i="1"/>
  <c r="P191" i="1"/>
  <c r="L191" i="1"/>
  <c r="F191" i="1"/>
  <c r="C191" i="1"/>
  <c r="N190" i="1"/>
  <c r="L190" i="1"/>
  <c r="L189" i="1"/>
  <c r="L188" i="1"/>
  <c r="R187" i="1"/>
  <c r="P187" i="1"/>
  <c r="O187" i="1"/>
  <c r="L187" i="1"/>
  <c r="K187" i="1"/>
  <c r="I187" i="1"/>
  <c r="F187" i="1"/>
  <c r="C187" i="1"/>
  <c r="L186" i="1"/>
  <c r="L185" i="1"/>
  <c r="L184" i="1"/>
  <c r="L183" i="1"/>
  <c r="L182" i="1"/>
  <c r="T181" i="1"/>
  <c r="Q181" i="1"/>
  <c r="P181" i="1"/>
  <c r="O181" i="1"/>
  <c r="L181" i="1"/>
  <c r="K181" i="1"/>
  <c r="I181" i="1"/>
  <c r="F181" i="1"/>
  <c r="C181" i="1"/>
  <c r="L180" i="1"/>
  <c r="L179" i="1"/>
  <c r="L178" i="1"/>
  <c r="L177" i="1"/>
  <c r="T176" i="1"/>
  <c r="R176" i="1"/>
  <c r="O176" i="1"/>
  <c r="L176" i="1"/>
  <c r="K176" i="1"/>
  <c r="I176" i="1"/>
  <c r="F176" i="1"/>
  <c r="C176" i="1"/>
  <c r="B175" i="1"/>
  <c r="N172" i="1"/>
  <c r="L172" i="1"/>
  <c r="T171" i="1"/>
  <c r="R171" i="1"/>
  <c r="P171" i="1"/>
  <c r="L171" i="1"/>
  <c r="K171" i="1"/>
  <c r="I171" i="1"/>
  <c r="F171" i="1"/>
  <c r="C171" i="1"/>
  <c r="K168" i="1"/>
  <c r="I168" i="1"/>
  <c r="C168" i="1"/>
  <c r="N166" i="1"/>
  <c r="L166" i="1"/>
  <c r="T165" i="1"/>
  <c r="R165" i="1"/>
  <c r="P165" i="1"/>
  <c r="O165" i="1"/>
  <c r="L165" i="1"/>
  <c r="K165" i="1"/>
  <c r="I165" i="1"/>
  <c r="F165" i="1"/>
  <c r="C165" i="1"/>
  <c r="N164" i="1"/>
  <c r="L164" i="1"/>
  <c r="R163" i="1"/>
  <c r="O163" i="1"/>
  <c r="L163" i="1"/>
  <c r="K163" i="1"/>
  <c r="I163" i="1"/>
  <c r="F163" i="1"/>
  <c r="C163" i="1"/>
  <c r="N162" i="1"/>
  <c r="L162" i="1"/>
  <c r="R161" i="1"/>
  <c r="Q161" i="1"/>
  <c r="O161" i="1"/>
  <c r="L161" i="1"/>
  <c r="K161" i="1"/>
  <c r="I161" i="1"/>
  <c r="F161" i="1"/>
  <c r="C161" i="1"/>
  <c r="N160" i="1"/>
  <c r="L160" i="1"/>
  <c r="T159" i="1"/>
  <c r="Q159" i="1"/>
  <c r="O159" i="1"/>
  <c r="L159" i="1"/>
  <c r="K159" i="1"/>
  <c r="I159" i="1"/>
  <c r="F159" i="1"/>
  <c r="C159" i="1"/>
  <c r="L158" i="1"/>
  <c r="L157" i="1"/>
  <c r="L156" i="1"/>
  <c r="L155" i="1"/>
  <c r="L154" i="1"/>
  <c r="T153" i="1"/>
  <c r="R153" i="1"/>
  <c r="Q153" i="1"/>
  <c r="P153" i="1"/>
  <c r="O153" i="1"/>
  <c r="L153" i="1"/>
  <c r="K153" i="1"/>
  <c r="I153" i="1"/>
  <c r="F153" i="1"/>
  <c r="C153" i="1"/>
  <c r="L152" i="1"/>
  <c r="L151" i="1"/>
  <c r="T150" i="1"/>
  <c r="Q150" i="1"/>
  <c r="O150" i="1"/>
  <c r="L150" i="1"/>
  <c r="K150" i="1"/>
  <c r="I150" i="1"/>
  <c r="F150" i="1"/>
  <c r="C150" i="1"/>
  <c r="L149" i="1"/>
  <c r="L148" i="1"/>
  <c r="L147" i="1"/>
  <c r="L146" i="1"/>
  <c r="T145" i="1"/>
  <c r="Q145" i="1"/>
  <c r="O145" i="1"/>
  <c r="L145" i="1"/>
  <c r="K145" i="1"/>
  <c r="I145" i="1"/>
  <c r="F145" i="1"/>
  <c r="C145" i="1"/>
  <c r="L144" i="1"/>
  <c r="L143" i="1"/>
  <c r="L142" i="1"/>
  <c r="L141" i="1"/>
  <c r="L140" i="1"/>
  <c r="T139" i="1"/>
  <c r="R139" i="1"/>
  <c r="Q139" i="1"/>
  <c r="P139" i="1"/>
  <c r="O139" i="1"/>
  <c r="L139" i="1"/>
  <c r="K139" i="1"/>
  <c r="I139" i="1"/>
  <c r="F139" i="1"/>
  <c r="C139" i="1"/>
  <c r="B138" i="1"/>
  <c r="C132" i="1"/>
  <c r="N127" i="1"/>
  <c r="L127" i="1"/>
  <c r="T126" i="1"/>
  <c r="S126" i="1"/>
  <c r="Q126" i="1"/>
  <c r="P126" i="1"/>
  <c r="N126" i="1"/>
  <c r="L126" i="1"/>
  <c r="K126" i="1"/>
  <c r="I126" i="1"/>
  <c r="F126" i="1"/>
  <c r="C126" i="1"/>
  <c r="N125" i="1"/>
  <c r="L125" i="1"/>
  <c r="N124" i="1"/>
  <c r="L124" i="1"/>
  <c r="C124" i="1"/>
  <c r="C123" i="1"/>
  <c r="N122" i="1"/>
  <c r="L122" i="1"/>
  <c r="S121" i="1"/>
  <c r="Q121" i="1"/>
  <c r="P121" i="1"/>
  <c r="N121" i="1"/>
  <c r="L121" i="1"/>
  <c r="H121" i="1"/>
  <c r="F121" i="1"/>
  <c r="C121" i="1"/>
  <c r="N119" i="1"/>
  <c r="L119" i="1"/>
  <c r="R118" i="1"/>
  <c r="Q118" i="1"/>
  <c r="P118" i="1"/>
  <c r="L118" i="1"/>
  <c r="K118" i="1"/>
  <c r="I118" i="1"/>
  <c r="F118" i="1"/>
  <c r="C118" i="1"/>
  <c r="C116" i="1"/>
  <c r="N115" i="1"/>
  <c r="L115" i="1"/>
  <c r="N114" i="1"/>
  <c r="L114" i="1"/>
  <c r="T113" i="1"/>
  <c r="S113" i="1"/>
  <c r="Q113" i="1"/>
  <c r="P113" i="1"/>
  <c r="N113" i="1"/>
  <c r="L113" i="1"/>
  <c r="K113" i="1"/>
  <c r="I113" i="1"/>
  <c r="F113" i="1"/>
  <c r="C113" i="1"/>
  <c r="N112" i="1"/>
  <c r="L112" i="1"/>
  <c r="Q111" i="1"/>
  <c r="P111" i="1"/>
  <c r="L111" i="1"/>
  <c r="K111" i="1"/>
  <c r="I111" i="1"/>
  <c r="F111" i="1"/>
  <c r="C111" i="1"/>
  <c r="N110" i="1"/>
  <c r="L110" i="1"/>
  <c r="S109" i="1"/>
  <c r="P109" i="1"/>
  <c r="L109" i="1"/>
  <c r="K109" i="1"/>
  <c r="I109" i="1"/>
  <c r="F109" i="1"/>
  <c r="C109" i="1"/>
  <c r="L104" i="1"/>
  <c r="T103" i="1"/>
  <c r="Q103" i="1"/>
  <c r="P103" i="1"/>
  <c r="O103" i="1"/>
  <c r="L103" i="1"/>
  <c r="K103" i="1"/>
  <c r="J103" i="1"/>
  <c r="I103" i="1"/>
  <c r="H103" i="1"/>
  <c r="F103" i="1"/>
  <c r="C103" i="1"/>
  <c r="N102" i="1"/>
  <c r="L102" i="1"/>
  <c r="L101" i="1"/>
  <c r="T100" i="1"/>
  <c r="Q100" i="1"/>
  <c r="P100" i="1"/>
  <c r="O100" i="1"/>
  <c r="L100" i="1"/>
  <c r="K100" i="1"/>
  <c r="I100" i="1"/>
  <c r="F100" i="1"/>
  <c r="C100" i="1"/>
  <c r="N98" i="1"/>
  <c r="L98" i="1"/>
  <c r="T97" i="1"/>
  <c r="Q97" i="1"/>
  <c r="P97" i="1"/>
  <c r="O97" i="1"/>
  <c r="L97" i="1"/>
  <c r="K97" i="1"/>
  <c r="I97" i="1"/>
  <c r="F97" i="1"/>
  <c r="C97" i="1"/>
  <c r="L96" i="1"/>
  <c r="L95" i="1"/>
  <c r="T94" i="1"/>
  <c r="S94" i="1"/>
  <c r="Q94" i="1"/>
  <c r="P94" i="1"/>
  <c r="O94" i="1"/>
  <c r="L94" i="1"/>
  <c r="K94" i="1"/>
  <c r="I94" i="1"/>
  <c r="F94" i="1"/>
  <c r="C94" i="1"/>
  <c r="N92" i="1"/>
  <c r="L92" i="1"/>
  <c r="T91" i="1"/>
  <c r="Q91" i="1"/>
  <c r="P91" i="1"/>
  <c r="O91" i="1"/>
  <c r="L91" i="1"/>
  <c r="K91" i="1"/>
  <c r="J91" i="1"/>
  <c r="I91" i="1"/>
  <c r="H91" i="1"/>
  <c r="F91" i="1"/>
  <c r="C91" i="1"/>
  <c r="N89" i="1"/>
  <c r="L89" i="1"/>
  <c r="S88" i="1"/>
  <c r="Q88" i="1"/>
  <c r="P88" i="1"/>
  <c r="L88" i="1"/>
  <c r="K88" i="1"/>
  <c r="I88" i="1"/>
  <c r="F88" i="1"/>
  <c r="C88" i="1"/>
  <c r="K86" i="1"/>
  <c r="I86" i="1"/>
  <c r="C86" i="1"/>
  <c r="N85" i="1"/>
  <c r="L85" i="1"/>
  <c r="Q83" i="1"/>
  <c r="P83" i="1"/>
  <c r="N83" i="1"/>
  <c r="L83" i="1"/>
  <c r="K83" i="1"/>
  <c r="I83" i="1"/>
  <c r="F83" i="1"/>
  <c r="C83" i="1"/>
  <c r="B82" i="1"/>
  <c r="L81" i="1"/>
  <c r="L80" i="1"/>
  <c r="Q79" i="1"/>
  <c r="P79" i="1"/>
  <c r="L79" i="1"/>
  <c r="K79" i="1"/>
  <c r="I79" i="1"/>
  <c r="F79" i="1"/>
  <c r="C79" i="1"/>
  <c r="N78" i="1"/>
  <c r="L78" i="1"/>
  <c r="T77" i="1"/>
  <c r="S77" i="1"/>
  <c r="Q77" i="1"/>
  <c r="P77" i="1"/>
  <c r="L77" i="1"/>
  <c r="K77" i="1"/>
  <c r="I77" i="1"/>
  <c r="F77" i="1"/>
  <c r="C77" i="1"/>
  <c r="T76" i="1"/>
  <c r="S76" i="1"/>
  <c r="O76" i="1"/>
  <c r="L76" i="1"/>
  <c r="K76" i="1"/>
  <c r="I76" i="1"/>
  <c r="F76" i="1"/>
  <c r="C76" i="1"/>
  <c r="S75" i="1"/>
  <c r="O75" i="1"/>
  <c r="L75" i="1"/>
  <c r="K75" i="1"/>
  <c r="I75" i="1"/>
  <c r="F75" i="1"/>
  <c r="C75" i="1"/>
  <c r="N73" i="1"/>
  <c r="L73" i="1"/>
  <c r="K73" i="1"/>
  <c r="I73" i="1"/>
  <c r="C73" i="1"/>
  <c r="T71" i="1"/>
  <c r="S71" i="1"/>
  <c r="O71" i="1"/>
  <c r="N71" i="1"/>
  <c r="L71" i="1"/>
  <c r="K71" i="1"/>
  <c r="I71" i="1"/>
  <c r="F71" i="1"/>
  <c r="C71" i="1"/>
  <c r="N69" i="1"/>
  <c r="L69" i="1"/>
  <c r="L68" i="1"/>
  <c r="S67" i="1"/>
  <c r="Q67" i="1"/>
  <c r="P67" i="1"/>
  <c r="O67" i="1"/>
  <c r="L67" i="1"/>
  <c r="K67" i="1"/>
  <c r="I67" i="1"/>
  <c r="F67" i="1"/>
  <c r="C67" i="1"/>
  <c r="L66" i="1"/>
  <c r="L65" i="1"/>
  <c r="L64" i="1"/>
  <c r="T63" i="1"/>
  <c r="Q63" i="1"/>
  <c r="O63" i="1"/>
  <c r="L63" i="1"/>
  <c r="K63" i="1"/>
  <c r="I63" i="1"/>
  <c r="F63" i="1"/>
  <c r="C63" i="1"/>
  <c r="C58" i="1"/>
  <c r="N57" i="1"/>
  <c r="L57" i="1"/>
  <c r="T56" i="1"/>
  <c r="Q56" i="1"/>
  <c r="P56" i="1"/>
  <c r="O56" i="1"/>
  <c r="N56" i="1"/>
  <c r="L56" i="1"/>
  <c r="K56" i="1"/>
  <c r="I56" i="1"/>
  <c r="F56" i="1"/>
  <c r="C56" i="1"/>
  <c r="N53" i="1"/>
  <c r="L53" i="1"/>
  <c r="C51" i="1"/>
  <c r="T49" i="1"/>
  <c r="Q49" i="1"/>
  <c r="P49" i="1"/>
  <c r="N49" i="1"/>
  <c r="L49" i="1"/>
  <c r="K49" i="1"/>
  <c r="I49" i="1"/>
  <c r="F49" i="1"/>
  <c r="C49" i="1"/>
  <c r="B48" i="1"/>
  <c r="V47" i="1"/>
  <c r="N47" i="1"/>
  <c r="L47" i="1"/>
  <c r="O46" i="1"/>
  <c r="L46" i="1"/>
  <c r="K46" i="1"/>
  <c r="I46" i="1"/>
  <c r="F46" i="1"/>
  <c r="C46" i="1"/>
  <c r="N45" i="1"/>
  <c r="L45" i="1"/>
  <c r="T44" i="1"/>
  <c r="Q44" i="1"/>
  <c r="P44" i="1"/>
  <c r="O44" i="1"/>
  <c r="L44" i="1"/>
  <c r="K44" i="1"/>
  <c r="I44" i="1"/>
  <c r="F44" i="1"/>
  <c r="C44" i="1"/>
  <c r="C39" i="1"/>
  <c r="N36" i="1"/>
  <c r="L36" i="1"/>
  <c r="T35" i="1"/>
  <c r="Q35" i="1"/>
  <c r="P35" i="1"/>
  <c r="O35" i="1"/>
  <c r="L35" i="1"/>
  <c r="K35" i="1"/>
  <c r="I35" i="1"/>
  <c r="F35" i="1"/>
  <c r="C35" i="1"/>
  <c r="C34" i="1"/>
  <c r="N33" i="1"/>
  <c r="L33" i="1"/>
  <c r="C33" i="1"/>
  <c r="T32" i="1"/>
  <c r="Q32" i="1"/>
  <c r="P32" i="1"/>
  <c r="O32" i="1"/>
  <c r="L32" i="1"/>
  <c r="K32" i="1"/>
  <c r="I32" i="1"/>
  <c r="F32" i="1"/>
  <c r="C32" i="1"/>
  <c r="C31" i="1"/>
  <c r="C30" i="1"/>
  <c r="N29" i="1"/>
  <c r="L29" i="1"/>
  <c r="C29" i="1"/>
  <c r="N28" i="1"/>
  <c r="L28" i="1"/>
  <c r="C28" i="1"/>
  <c r="T27" i="1"/>
  <c r="S27" i="1"/>
  <c r="Q27" i="1"/>
  <c r="P27" i="1"/>
  <c r="O27" i="1"/>
  <c r="N27" i="1"/>
  <c r="L27" i="1"/>
  <c r="K27" i="1"/>
  <c r="I27" i="1"/>
  <c r="F27" i="1"/>
  <c r="C27" i="1"/>
  <c r="N26" i="1"/>
  <c r="L26" i="1"/>
  <c r="C26" i="1"/>
  <c r="T25" i="1"/>
  <c r="Q25" i="1"/>
  <c r="P25" i="1"/>
  <c r="O25" i="1"/>
  <c r="L25" i="1"/>
  <c r="K25" i="1"/>
  <c r="I25" i="1"/>
  <c r="F25" i="1"/>
  <c r="C25" i="1"/>
  <c r="C21" i="1"/>
  <c r="C20" i="1"/>
  <c r="C18" i="1"/>
  <c r="N17" i="1"/>
  <c r="L17" i="1"/>
  <c r="C17" i="1"/>
  <c r="T16" i="1"/>
  <c r="Q16" i="1"/>
  <c r="O16" i="1"/>
  <c r="N16" i="1"/>
  <c r="L16" i="1"/>
  <c r="K16" i="1"/>
  <c r="I16" i="1"/>
  <c r="F16" i="1"/>
  <c r="C16" i="1"/>
  <c r="C15" i="1"/>
  <c r="N14" i="1"/>
  <c r="L14" i="1"/>
  <c r="C14" i="1"/>
  <c r="C13" i="1"/>
  <c r="S12" i="1"/>
  <c r="R12" i="1"/>
  <c r="P12" i="1"/>
  <c r="O12" i="1"/>
  <c r="N12" i="1"/>
  <c r="L12" i="1"/>
  <c r="K12" i="1"/>
  <c r="I12" i="1"/>
  <c r="F12" i="1"/>
  <c r="C12" i="1"/>
  <c r="N11" i="1"/>
  <c r="L11" i="1"/>
  <c r="T10" i="1"/>
  <c r="Q10" i="1"/>
  <c r="O10" i="1"/>
  <c r="L10" i="1"/>
  <c r="K10" i="1"/>
  <c r="I10" i="1"/>
  <c r="F10" i="1"/>
  <c r="C10" i="1"/>
  <c r="N8" i="1"/>
  <c r="L8" i="1"/>
  <c r="K8" i="1"/>
  <c r="I8" i="1"/>
  <c r="C8" i="1"/>
  <c r="T7" i="1"/>
  <c r="Q7" i="1"/>
  <c r="P7" i="1"/>
  <c r="O7" i="1"/>
  <c r="N7" i="1"/>
  <c r="L7" i="1"/>
  <c r="K7" i="1"/>
  <c r="I7" i="1"/>
  <c r="F7" i="1"/>
  <c r="C7" i="1"/>
  <c r="B6" i="1"/>
  <c r="S4" i="1"/>
  <c r="R4" i="1"/>
  <c r="Q4" i="1"/>
  <c r="P4" i="1"/>
  <c r="O4" i="1"/>
  <c r="N4" i="1"/>
  <c r="M4" i="1"/>
  <c r="L4" i="1"/>
  <c r="K4" i="1"/>
  <c r="J4" i="1"/>
  <c r="I4" i="1"/>
  <c r="H4" i="1"/>
  <c r="G4" i="1"/>
  <c r="E4" i="1"/>
  <c r="D4" i="1"/>
  <c r="T3" i="1"/>
  <c r="Q3" i="1"/>
  <c r="O3" i="1"/>
  <c r="L3" i="1"/>
  <c r="G3" i="1"/>
  <c r="F3" i="1"/>
  <c r="D3" i="1"/>
  <c r="C3" i="1"/>
  <c r="B3" i="1"/>
  <c r="C2" i="1"/>
  <c r="B1" i="1"/>
</calcChain>
</file>

<file path=xl/sharedStrings.xml><?xml version="1.0" encoding="utf-8"?>
<sst xmlns="http://schemas.openxmlformats.org/spreadsheetml/2006/main" count="278" uniqueCount="272">
  <si>
    <t>Русский</t>
  </si>
  <si>
    <t xml:space="preserve"> 42°45'45.14"С</t>
  </si>
  <si>
    <t xml:space="preserve"> 76°14'11.85"В</t>
  </si>
  <si>
    <t>1300</t>
  </si>
  <si>
    <t xml:space="preserve"> 42°45'6.54"С</t>
  </si>
  <si>
    <t xml:space="preserve"> 76°11'9.61"В</t>
  </si>
  <si>
    <t>3900</t>
  </si>
  <si>
    <t xml:space="preserve"> 42°41'32.11"С</t>
  </si>
  <si>
    <t xml:space="preserve"> 75°52'25.00"В</t>
  </si>
  <si>
    <t>730</t>
  </si>
  <si>
    <t>7090</t>
  </si>
  <si>
    <t xml:space="preserve"> 42°37'25.34"С</t>
  </si>
  <si>
    <t xml:space="preserve"> 75°23'45.23"В</t>
  </si>
  <si>
    <t>1200</t>
  </si>
  <si>
    <t xml:space="preserve"> 42°38'26.07"С</t>
  </si>
  <si>
    <t xml:space="preserve"> 75°23'14.96"В</t>
  </si>
  <si>
    <t xml:space="preserve"> 42°39'33.15"С</t>
  </si>
  <si>
    <t xml:space="preserve"> 75°23'2.44"В</t>
  </si>
  <si>
    <t>10390</t>
  </si>
  <si>
    <t xml:space="preserve"> 42°40'27.79"С</t>
  </si>
  <si>
    <t xml:space="preserve"> 75°22'21.17"В</t>
  </si>
  <si>
    <t xml:space="preserve">  42°39'44.34"С</t>
  </si>
  <si>
    <t xml:space="preserve"> 75° 3'4.08"В</t>
  </si>
  <si>
    <t>3400</t>
  </si>
  <si>
    <t xml:space="preserve"> 42°39'24.35"С</t>
  </si>
  <si>
    <t xml:space="preserve"> 75° 0'25.12"В</t>
  </si>
  <si>
    <t>9720</t>
  </si>
  <si>
    <t xml:space="preserve"> 42°39'3.07"С</t>
  </si>
  <si>
    <t xml:space="preserve"> 74°58'10.29"В</t>
  </si>
  <si>
    <t xml:space="preserve"> 42°38'10.12"С</t>
  </si>
  <si>
    <t xml:space="preserve"> 74°55'41.32"В</t>
  </si>
  <si>
    <t xml:space="preserve">  42°37'9.42"С</t>
  </si>
  <si>
    <t xml:space="preserve"> 74°54'49.94"В</t>
  </si>
  <si>
    <t xml:space="preserve"> 42°37'36.57"С</t>
  </si>
  <si>
    <t xml:space="preserve"> 74°29'19.75"В</t>
  </si>
  <si>
    <t>(157)</t>
  </si>
  <si>
    <t xml:space="preserve"> 42°38'47.79"С</t>
  </si>
  <si>
    <t xml:space="preserve"> 74°29'43.57"В</t>
  </si>
  <si>
    <t>7030</t>
  </si>
  <si>
    <t xml:space="preserve"> 42°37'50.56"С</t>
  </si>
  <si>
    <t xml:space="preserve"> 74°14'13.68"В</t>
  </si>
  <si>
    <t>2100</t>
  </si>
  <si>
    <t xml:space="preserve"> 42°39'11.70"С</t>
  </si>
  <si>
    <t xml:space="preserve"> 74°14'19.73"В</t>
  </si>
  <si>
    <t xml:space="preserve"> 42°41'37.96"С</t>
  </si>
  <si>
    <t xml:space="preserve"> 74°14'36.83"В</t>
  </si>
  <si>
    <t>7570</t>
  </si>
  <si>
    <t xml:space="preserve"> 42°42'58.25"С</t>
  </si>
  <si>
    <t xml:space="preserve"> 74°14'39.73"В</t>
  </si>
  <si>
    <t xml:space="preserve"> 42°44'17.27"С</t>
  </si>
  <si>
    <t xml:space="preserve"> 74°14'16.21"В</t>
  </si>
  <si>
    <t xml:space="preserve"> 42°41'49.19"С</t>
  </si>
  <si>
    <t xml:space="preserve"> 74°39'52.51"В</t>
  </si>
  <si>
    <t>1500</t>
  </si>
  <si>
    <t xml:space="preserve"> 42°40'52.62"С</t>
  </si>
  <si>
    <t xml:space="preserve"> 74°40'31.61"В</t>
  </si>
  <si>
    <t>12700</t>
  </si>
  <si>
    <t xml:space="preserve"> 42°39'43.87"С</t>
  </si>
  <si>
    <t xml:space="preserve"> 74°41'6.48"В</t>
  </si>
  <si>
    <t xml:space="preserve"> 42°39'2.92"С</t>
  </si>
  <si>
    <t xml:space="preserve"> 74° 0'5.23"В</t>
  </si>
  <si>
    <t>800</t>
  </si>
  <si>
    <t>6100</t>
  </si>
  <si>
    <t xml:space="preserve"> 42°37'24.92"С</t>
  </si>
  <si>
    <t xml:space="preserve"> 74° 0'21.64"В</t>
  </si>
  <si>
    <t xml:space="preserve"> 42° 7'17.33"С</t>
  </si>
  <si>
    <t xml:space="preserve"> 74° 4'30.58"В</t>
  </si>
  <si>
    <t>1600</t>
  </si>
  <si>
    <t>500</t>
  </si>
  <si>
    <t xml:space="preserve"> 42°11'22.06"С</t>
  </si>
  <si>
    <t xml:space="preserve"> 74° 3'8.26"В</t>
  </si>
  <si>
    <t>930</t>
  </si>
  <si>
    <t xml:space="preserve"> 42°43'28.28"С</t>
  </si>
  <si>
    <t xml:space="preserve"> 78°49'17.60"В</t>
  </si>
  <si>
    <t>(131)</t>
  </si>
  <si>
    <t xml:space="preserve"> 42°43'7.37"С</t>
  </si>
  <si>
    <t xml:space="preserve"> 78°47'22.69"В</t>
  </si>
  <si>
    <t>(1540)</t>
  </si>
  <si>
    <t xml:space="preserve"> 42°36'20.91"С</t>
  </si>
  <si>
    <t xml:space="preserve"> 78°51'7.47"В</t>
  </si>
  <si>
    <t>(176)</t>
  </si>
  <si>
    <t>(1718)</t>
  </si>
  <si>
    <t xml:space="preserve"> 42°35'33.42"С</t>
  </si>
  <si>
    <t xml:space="preserve"> 78°52'37.37"В</t>
  </si>
  <si>
    <t xml:space="preserve"> 42°23'35.30"С</t>
  </si>
  <si>
    <t xml:space="preserve"> 78°13'8.80"E</t>
  </si>
  <si>
    <t>1,26</t>
  </si>
  <si>
    <t>4,01</t>
  </si>
  <si>
    <t>(445)</t>
  </si>
  <si>
    <t>(174)</t>
  </si>
  <si>
    <t>(101)</t>
  </si>
  <si>
    <t>(172)</t>
  </si>
  <si>
    <t xml:space="preserve"> 42° 7'27.34"С</t>
  </si>
  <si>
    <t xml:space="preserve"> 76°50'10.12"E</t>
  </si>
  <si>
    <t>1,28</t>
  </si>
  <si>
    <t>1,71</t>
  </si>
  <si>
    <t>(70)</t>
  </si>
  <si>
    <t>(98)</t>
  </si>
  <si>
    <t>(681)</t>
  </si>
  <si>
    <t xml:space="preserve"> 42° 0'5.55"С</t>
  </si>
  <si>
    <t xml:space="preserve"> 79° 4'29.26"В</t>
  </si>
  <si>
    <t>5,6</t>
  </si>
  <si>
    <t>28,1</t>
  </si>
  <si>
    <t>(17)</t>
  </si>
  <si>
    <t xml:space="preserve"> 41°57'39.89"С</t>
  </si>
  <si>
    <t xml:space="preserve"> 79° 5'18.03"В</t>
  </si>
  <si>
    <t>(13)</t>
  </si>
  <si>
    <t xml:space="preserve"> 42°12'2.87"С</t>
  </si>
  <si>
    <t>1,41</t>
  </si>
  <si>
    <t>8,02</t>
  </si>
  <si>
    <t>(8)</t>
  </si>
  <si>
    <t xml:space="preserve"> 42° 2'24.48"С</t>
  </si>
  <si>
    <t xml:space="preserve"> 79° 4'51.73"В</t>
  </si>
  <si>
    <t>(34)</t>
  </si>
  <si>
    <t xml:space="preserve"> 42°16'50.43"С</t>
  </si>
  <si>
    <t xml:space="preserve"> 76°22'58.58"В</t>
  </si>
  <si>
    <t>0,93</t>
  </si>
  <si>
    <t>2,04</t>
  </si>
  <si>
    <t>(188)</t>
  </si>
  <si>
    <t>(214)</t>
  </si>
  <si>
    <t xml:space="preserve"> 42°14'38.32"С</t>
  </si>
  <si>
    <t xml:space="preserve"> 77°56'51.81"E</t>
  </si>
  <si>
    <t>(687)</t>
  </si>
  <si>
    <t>(892)</t>
  </si>
  <si>
    <t>(127)</t>
  </si>
  <si>
    <t xml:space="preserve"> 41°47'41.29"С</t>
  </si>
  <si>
    <t xml:space="preserve"> 74°17'1.81"В</t>
  </si>
  <si>
    <t>(25)</t>
  </si>
  <si>
    <t>(350)</t>
  </si>
  <si>
    <t xml:space="preserve"> 41°49'16.07"С</t>
  </si>
  <si>
    <t xml:space="preserve"> 74°18'12.11"В</t>
  </si>
  <si>
    <t xml:space="preserve"> 42°12'23.78"С</t>
  </si>
  <si>
    <t xml:space="preserve"> 75°14'3.13"В</t>
  </si>
  <si>
    <t>(77)</t>
  </si>
  <si>
    <t>(636)</t>
  </si>
  <si>
    <t xml:space="preserve"> 42° 9'51.30"С</t>
  </si>
  <si>
    <t xml:space="preserve"> 75°39'6.13"В</t>
  </si>
  <si>
    <t>(253)</t>
  </si>
  <si>
    <t>(680)</t>
  </si>
  <si>
    <t xml:space="preserve">  42° 9'2.46"С</t>
  </si>
  <si>
    <t xml:space="preserve"> 75°47'55.09"В</t>
  </si>
  <si>
    <t>(180)</t>
  </si>
  <si>
    <t>(22)</t>
  </si>
  <si>
    <t>(193)</t>
  </si>
  <si>
    <t xml:space="preserve"> 42°15'59.99"С</t>
  </si>
  <si>
    <t xml:space="preserve">  75°50'37.26"В</t>
  </si>
  <si>
    <t>(1261)</t>
  </si>
  <si>
    <t>(661)</t>
  </si>
  <si>
    <t xml:space="preserve"> 41°56'24.96"С</t>
  </si>
  <si>
    <t xml:space="preserve"> 74°33'53.12"В</t>
  </si>
  <si>
    <t>(415)</t>
  </si>
  <si>
    <t>(572)</t>
  </si>
  <si>
    <t xml:space="preserve"> 42° 5'36.13"С</t>
  </si>
  <si>
    <t xml:space="preserve"> 74° 7'8.94"В</t>
  </si>
  <si>
    <t>920</t>
  </si>
  <si>
    <t xml:space="preserve"> 41°15'48.58"С</t>
  </si>
  <si>
    <t xml:space="preserve"> 74°33'18.31"В</t>
  </si>
  <si>
    <t>(86)</t>
  </si>
  <si>
    <t>(160)</t>
  </si>
  <si>
    <t xml:space="preserve"> 41°24'12.36"С</t>
  </si>
  <si>
    <t xml:space="preserve"> 74° 6'51.88"В</t>
  </si>
  <si>
    <t>(1309)</t>
  </si>
  <si>
    <t>(300)</t>
  </si>
  <si>
    <t xml:space="preserve"> 41°30'3.86"С</t>
  </si>
  <si>
    <t xml:space="preserve"> 75°50'40.44"В</t>
  </si>
  <si>
    <t>(195)</t>
  </si>
  <si>
    <t>(190)</t>
  </si>
  <si>
    <t>(857)</t>
  </si>
  <si>
    <t xml:space="preserve"> 41°27'47.11"С</t>
  </si>
  <si>
    <t xml:space="preserve"> 75°49'50.62"В</t>
  </si>
  <si>
    <t xml:space="preserve"> 41°25'48.62"С</t>
  </si>
  <si>
    <t xml:space="preserve"> 75°39'56.84"В</t>
  </si>
  <si>
    <t>(102)</t>
  </si>
  <si>
    <t>(249)</t>
  </si>
  <si>
    <t xml:space="preserve"> 41° 3'3.83"С</t>
  </si>
  <si>
    <t xml:space="preserve"> 75°34'41.26"В</t>
  </si>
  <si>
    <t>(171)</t>
  </si>
  <si>
    <t>(204)</t>
  </si>
  <si>
    <t xml:space="preserve"> 41° 4'19.02"С</t>
  </si>
  <si>
    <t xml:space="preserve"> 75°36'11.05"В</t>
  </si>
  <si>
    <t xml:space="preserve"> 41° 5'34.87"С</t>
  </si>
  <si>
    <t xml:space="preserve"> 75°37'41.27"В</t>
  </si>
  <si>
    <t>(169)</t>
  </si>
  <si>
    <t>(822)</t>
  </si>
  <si>
    <t xml:space="preserve"> 41°12'44.85"С</t>
  </si>
  <si>
    <t xml:space="preserve"> 75°44'8.84"В</t>
  </si>
  <si>
    <t>(600)</t>
  </si>
  <si>
    <t>(1209)</t>
  </si>
  <si>
    <t xml:space="preserve"> 41°14'13.16"С</t>
  </si>
  <si>
    <t xml:space="preserve"> 75°43'55.59"В</t>
  </si>
  <si>
    <t xml:space="preserve"> 40°33'53.68"С</t>
  </si>
  <si>
    <t xml:space="preserve"> 73°44'46.04"В</t>
  </si>
  <si>
    <t xml:space="preserve"> 40°36'14.19"С</t>
  </si>
  <si>
    <t>73°33'30.03"В</t>
  </si>
  <si>
    <t xml:space="preserve"> 40°38'36.17"С</t>
  </si>
  <si>
    <t xml:space="preserve"> 73°44'39.19"В</t>
  </si>
  <si>
    <t xml:space="preserve"> 40°50'47.26"С</t>
  </si>
  <si>
    <t xml:space="preserve"> 73°38'34.51"В</t>
  </si>
  <si>
    <t xml:space="preserve">  40°18'0.94"С</t>
  </si>
  <si>
    <t xml:space="preserve"> 73°27'42.09"В</t>
  </si>
  <si>
    <t xml:space="preserve"> 40°25'34.81"С</t>
  </si>
  <si>
    <t xml:space="preserve"> 73°16'54.36"E</t>
  </si>
  <si>
    <t xml:space="preserve"> 40°30'28.03"С</t>
  </si>
  <si>
    <t xml:space="preserve"> 73° 9'1.72"В</t>
  </si>
  <si>
    <t xml:space="preserve"> 40°24'46.16"С</t>
  </si>
  <si>
    <t xml:space="preserve"> 72°52'25.23"В</t>
  </si>
  <si>
    <t xml:space="preserve"> 40°25'18.07"С</t>
  </si>
  <si>
    <t>72°52'10.13"В</t>
  </si>
  <si>
    <t xml:space="preserve"> 39°31'54.51"С</t>
  </si>
  <si>
    <t xml:space="preserve"> 72° 8'15.13"E</t>
  </si>
  <si>
    <t xml:space="preserve"> 40° 9'12.31"С</t>
  </si>
  <si>
    <t xml:space="preserve"> 72° 5'39.31"E</t>
  </si>
  <si>
    <t xml:space="preserve"> 40° 6'9.04"С</t>
  </si>
  <si>
    <t xml:space="preserve"> 71°43'4.97"В</t>
  </si>
  <si>
    <t>4,97</t>
  </si>
  <si>
    <t>7,7</t>
  </si>
  <si>
    <t>(36)</t>
  </si>
  <si>
    <t>(510)</t>
  </si>
  <si>
    <t>(85)</t>
  </si>
  <si>
    <t>(28)</t>
  </si>
  <si>
    <t>(60)</t>
  </si>
  <si>
    <t>(400)</t>
  </si>
  <si>
    <t xml:space="preserve"> 39°59'34.65"С</t>
  </si>
  <si>
    <t xml:space="preserve"> 69°50'56.12"E</t>
  </si>
  <si>
    <t>4,09</t>
  </si>
  <si>
    <t>7,4</t>
  </si>
  <si>
    <t>39°52'14.38"С</t>
  </si>
  <si>
    <t xml:space="preserve"> 71° 6'8.37"E</t>
  </si>
  <si>
    <t xml:space="preserve"> 41°38'55.37"С</t>
  </si>
  <si>
    <t xml:space="preserve"> 71°59'23.36"E</t>
  </si>
  <si>
    <t xml:space="preserve">          </t>
  </si>
  <si>
    <t xml:space="preserve"> 41°37'30.35"С</t>
  </si>
  <si>
    <t xml:space="preserve"> 71°38'37.71"E</t>
  </si>
  <si>
    <t xml:space="preserve"> 41°38'44.12"С</t>
  </si>
  <si>
    <t xml:space="preserve"> 72° 1'25.10"E</t>
  </si>
  <si>
    <t xml:space="preserve"> 41°37'24.79"С</t>
  </si>
  <si>
    <t xml:space="preserve"> 72°38'0.04"В</t>
  </si>
  <si>
    <t xml:space="preserve"> 41°13'59.39"С</t>
  </si>
  <si>
    <t xml:space="preserve"> 72°57'36.26"В</t>
  </si>
  <si>
    <t xml:space="preserve"> 41° 7'41.53"С</t>
  </si>
  <si>
    <t xml:space="preserve"> 72°42'46.91"В</t>
  </si>
  <si>
    <t>41° 9'26.54"С</t>
  </si>
  <si>
    <t xml:space="preserve"> 73°11'59.34"В</t>
  </si>
  <si>
    <t>7920</t>
  </si>
  <si>
    <t xml:space="preserve"> 41° 9'54.29"С</t>
  </si>
  <si>
    <t xml:space="preserve"> 73°17'24.52"В</t>
  </si>
  <si>
    <t>660</t>
  </si>
  <si>
    <t xml:space="preserve"> 41° 9'5.03"С</t>
  </si>
  <si>
    <t xml:space="preserve"> 73°21'58.93"В</t>
  </si>
  <si>
    <t>630</t>
  </si>
  <si>
    <t xml:space="preserve"> 41° 7'58.95"С</t>
  </si>
  <si>
    <t xml:space="preserve"> 73°21'41.11"В</t>
  </si>
  <si>
    <t>640</t>
  </si>
  <si>
    <t>6370</t>
  </si>
  <si>
    <t xml:space="preserve"> 41°17'43.86"С</t>
  </si>
  <si>
    <t xml:space="preserve"> 72°28'41.42"E</t>
  </si>
  <si>
    <t xml:space="preserve"> 41°50'49.88"С</t>
  </si>
  <si>
    <t xml:space="preserve"> 73°11'30.88"В</t>
  </si>
  <si>
    <t xml:space="preserve"> 41°35'39.31"С</t>
  </si>
  <si>
    <t xml:space="preserve"> 72° 6'23.63"E</t>
  </si>
  <si>
    <t xml:space="preserve"> 41°52'29.25"С</t>
  </si>
  <si>
    <t xml:space="preserve"> 72°40'41.75"В</t>
  </si>
  <si>
    <t xml:space="preserve"> 41°41'5.87"С</t>
  </si>
  <si>
    <t xml:space="preserve"> 70°42'27.70"В</t>
  </si>
  <si>
    <t xml:space="preserve"> 42°30'9.77"С</t>
  </si>
  <si>
    <t xml:space="preserve"> 72°35'27.68"В</t>
  </si>
  <si>
    <t>1400</t>
  </si>
  <si>
    <t xml:space="preserve"> 42°26'13.71"С</t>
  </si>
  <si>
    <t xml:space="preserve"> 72°45'55.44"В</t>
  </si>
  <si>
    <t xml:space="preserve"> 42°28'2.62"С</t>
  </si>
  <si>
    <t xml:space="preserve"> 72°41'20.28"В</t>
  </si>
  <si>
    <t>6530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</si>
</sst>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0"/>
    <numFmt numFmtId="165" formatCode="0.0"/>
  </numFmts>
  <fonts count="10" x14ac:knownFonts="1">
    <font>
      <sz val="10"/>
      <color indexed="8"/>
      <name val="Arial"/>
    </font>
    <font>
      <sz val="14"/>
      <color indexed="8"/>
      <name val="Tahoma"/>
    </font>
    <font>
      <b/>
      <sz val="18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sz val="11"/>
      <color indexed="8"/>
      <name val="Arial"/>
    </font>
    <font>
      <sz val="16"/>
      <color indexed="8"/>
      <name val="Arial"/>
    </font>
    <font>
      <b/>
      <sz val="12"/>
      <color indexed="8"/>
      <name val="Arial"/>
    </font>
    <font>
      <b/>
      <sz val="10"/>
      <color indexed="8"/>
      <name val="Arial"/>
    </font>
    <font>
      <sz val="12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4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5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1" fillId="0" borderId="1" xfId="0" applyNumberFormat="1" applyFont="1" applyBorder="1" applyAlignment="1"/>
    <xf numFmtId="49" fontId="1" fillId="2" borderId="1" xfId="0" applyNumberFormat="1" applyFont="1" applyFill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11" xfId="0" applyFont="1" applyBorder="1" applyAlignment="1"/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/>
    <xf numFmtId="0" fontId="3" fillId="3" borderId="23" xfId="0" applyNumberFormat="1" applyFont="1" applyFill="1" applyBorder="1" applyAlignment="1">
      <alignment horizontal="center" vertical="center"/>
    </xf>
    <xf numFmtId="49" fontId="3" fillId="3" borderId="2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0" fontId="3" fillId="3" borderId="24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0" fontId="3" fillId="3" borderId="28" xfId="0" applyNumberFormat="1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/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65" fontId="3" fillId="3" borderId="26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165" fontId="3" fillId="3" borderId="14" xfId="0" applyNumberFormat="1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/>
    </xf>
    <xf numFmtId="0" fontId="0" fillId="0" borderId="47" xfId="0" applyFont="1" applyBorder="1" applyAlignment="1"/>
    <xf numFmtId="0" fontId="3" fillId="0" borderId="47" xfId="0" applyFont="1" applyBorder="1" applyAlignment="1"/>
    <xf numFmtId="0" fontId="3" fillId="0" borderId="1" xfId="0" applyFont="1" applyBorder="1" applyAlignment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49" fontId="7" fillId="3" borderId="27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64" fontId="3" fillId="3" borderId="30" xfId="0" applyNumberFormat="1" applyFont="1" applyFill="1" applyBorder="1" applyAlignment="1">
      <alignment horizontal="center" vertical="center" wrapText="1"/>
    </xf>
    <xf numFmtId="164" fontId="3" fillId="3" borderId="34" xfId="0" applyNumberFormat="1" applyFont="1" applyFill="1" applyBorder="1" applyAlignment="1">
      <alignment horizontal="center" vertical="center" wrapText="1"/>
    </xf>
    <xf numFmtId="164" fontId="3" fillId="3" borderId="44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49" fontId="3" fillId="3" borderId="30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3" borderId="15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31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1" fontId="3" fillId="3" borderId="27" xfId="0" applyNumberFormat="1" applyFont="1" applyFill="1" applyBorder="1" applyAlignment="1">
      <alignment horizontal="center" vertical="center" wrapText="1"/>
    </xf>
    <xf numFmtId="49" fontId="3" fillId="3" borderId="39" xfId="0" applyNumberFormat="1" applyFont="1" applyFill="1" applyBorder="1" applyAlignment="1">
      <alignment horizontal="center" vertical="center" wrapText="1"/>
    </xf>
    <xf numFmtId="49" fontId="3" fillId="3" borderId="40" xfId="0" applyNumberFormat="1" applyFont="1" applyFill="1" applyBorder="1" applyAlignment="1">
      <alignment horizontal="center" vertical="center"/>
    </xf>
    <xf numFmtId="49" fontId="3" fillId="3" borderId="36" xfId="0" applyNumberFormat="1" applyFont="1" applyFill="1" applyBorder="1" applyAlignment="1">
      <alignment horizontal="center" vertical="center"/>
    </xf>
    <xf numFmtId="49" fontId="3" fillId="3" borderId="41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7" fillId="3" borderId="27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49" fontId="3" fillId="3" borderId="30" xfId="0" applyNumberFormat="1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49" fontId="3" fillId="3" borderId="31" xfId="0" applyNumberFormat="1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49" fontId="3" fillId="3" borderId="46" xfId="0" applyNumberFormat="1" applyFont="1" applyFill="1" applyBorder="1" applyAlignment="1">
      <alignment horizontal="center" vertical="center" wrapText="1"/>
    </xf>
    <xf numFmtId="49" fontId="3" fillId="3" borderId="40" xfId="0" applyNumberFormat="1" applyFont="1" applyFill="1" applyBorder="1" applyAlignment="1">
      <alignment horizontal="center" vertical="center" wrapText="1"/>
    </xf>
    <xf numFmtId="49" fontId="3" fillId="3" borderId="3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49" fontId="3" fillId="3" borderId="29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49" fontId="3" fillId="3" borderId="30" xfId="0" applyNumberFormat="1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49" fontId="3" fillId="3" borderId="33" xfId="0" applyNumberFormat="1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1" fontId="9" fillId="3" borderId="26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164" fontId="3" fillId="3" borderId="27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49" fontId="3" fillId="3" borderId="31" xfId="0" applyNumberFormat="1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0" fontId="0" fillId="0" borderId="39" xfId="0" applyFont="1" applyBorder="1" applyAlignment="1"/>
    <xf numFmtId="0" fontId="0" fillId="0" borderId="35" xfId="0" applyFont="1" applyBorder="1" applyAlignment="1"/>
    <xf numFmtId="0" fontId="0" fillId="0" borderId="38" xfId="0" applyFont="1" applyBorder="1" applyAlignment="1"/>
    <xf numFmtId="1" fontId="9" fillId="3" borderId="10" xfId="0" applyNumberFormat="1" applyFont="1" applyFill="1" applyBorder="1" applyAlignment="1">
      <alignment horizontal="center" vertical="center" wrapText="1"/>
    </xf>
    <xf numFmtId="1" fontId="9" fillId="3" borderId="27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165" fontId="3" fillId="3" borderId="25" xfId="0" applyNumberFormat="1" applyFont="1" applyFill="1" applyBorder="1" applyAlignment="1">
      <alignment horizontal="center" vertical="center" wrapText="1"/>
    </xf>
    <xf numFmtId="165" fontId="3" fillId="3" borderId="13" xfId="0" applyNumberFormat="1" applyFont="1" applyFill="1" applyBorder="1" applyAlignment="1">
      <alignment horizontal="center" vertical="center" wrapText="1"/>
    </xf>
    <xf numFmtId="164" fontId="3" fillId="3" borderId="29" xfId="0" applyNumberFormat="1" applyFont="1" applyFill="1" applyBorder="1" applyAlignment="1">
      <alignment horizontal="center" vertical="center" wrapText="1"/>
    </xf>
    <xf numFmtId="164" fontId="3" fillId="3" borderId="33" xfId="0" applyNumberFormat="1" applyFont="1" applyFill="1" applyBorder="1" applyAlignment="1">
      <alignment horizontal="center" vertical="center" wrapText="1"/>
    </xf>
    <xf numFmtId="164" fontId="3" fillId="3" borderId="43" xfId="0" applyNumberFormat="1" applyFont="1" applyFill="1" applyBorder="1" applyAlignment="1">
      <alignment horizontal="center" vertical="center" wrapText="1"/>
    </xf>
    <xf numFmtId="0" fontId="3" fillId="3" borderId="39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/>
    <xf numFmtId="0" fontId="0" fillId="0" borderId="12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37" xfId="0" applyFont="1" applyBorder="1" applyAlignment="1"/>
    <xf numFmtId="0" fontId="3" fillId="3" borderId="40" xfId="0" applyNumberFormat="1" applyFont="1" applyFill="1" applyBorder="1" applyAlignment="1">
      <alignment horizontal="center" vertical="center" wrapText="1"/>
    </xf>
    <xf numFmtId="0" fontId="0" fillId="0" borderId="30" xfId="0" applyFont="1" applyBorder="1" applyAlignment="1"/>
    <xf numFmtId="164" fontId="3" fillId="3" borderId="41" xfId="0" applyNumberFormat="1" applyFont="1" applyFill="1" applyBorder="1" applyAlignment="1">
      <alignment horizontal="center" vertical="center" wrapText="1"/>
    </xf>
    <xf numFmtId="164" fontId="3" fillId="3" borderId="37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3" fillId="3" borderId="40" xfId="0" applyNumberFormat="1" applyFont="1" applyFill="1" applyBorder="1" applyAlignment="1">
      <alignment horizontal="center" vertical="center" wrapText="1"/>
    </xf>
    <xf numFmtId="164" fontId="3" fillId="3" borderId="36" xfId="0" applyNumberFormat="1" applyFont="1" applyFill="1" applyBorder="1" applyAlignment="1">
      <alignment horizontal="center" vertical="center" wrapText="1"/>
    </xf>
    <xf numFmtId="49" fontId="6" fillId="4" borderId="20" xfId="0" applyNumberFormat="1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2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center" vertical="center"/>
    </xf>
    <xf numFmtId="0" fontId="3" fillId="3" borderId="24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4" fillId="3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6" xfId="0" applyNumberFormat="1" applyFont="1" applyFill="1" applyBorder="1" applyAlignment="1">
      <alignment horizontal="center" vertical="center" wrapText="1"/>
    </xf>
    <xf numFmtId="49" fontId="6" fillId="4" borderId="20" xfId="0" applyNumberFormat="1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8" fillId="0" borderId="15" xfId="0" applyFont="1" applyBorder="1" applyAlignment="1"/>
    <xf numFmtId="0" fontId="3" fillId="3" borderId="4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79646"/>
      <rgbColor rgb="FFFFFFFF"/>
      <rgbColor rgb="FF99CC00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0"/>
  <sheetViews>
    <sheetView showGridLines="0" tabSelected="1" workbookViewId="0"/>
  </sheetViews>
  <sheetFormatPr defaultColWidth="8.85546875" defaultRowHeight="13.15" customHeight="1" x14ac:dyDescent="0.2"/>
  <cols>
    <col min="1" max="1" width="1.42578125" style="1" customWidth="1"/>
    <col min="2" max="2" width="13.140625" style="1" customWidth="1"/>
    <col min="3" max="3" width="22.85546875" style="1" customWidth="1"/>
    <col min="4" max="4" width="17.140625" style="1" customWidth="1"/>
    <col min="5" max="5" width="18.28515625" style="1" customWidth="1"/>
    <col min="6" max="6" width="20.42578125" style="1" customWidth="1"/>
    <col min="7" max="7" width="13" style="1" customWidth="1"/>
    <col min="8" max="9" width="15.85546875" style="1" customWidth="1"/>
    <col min="10" max="10" width="16.85546875" style="1" customWidth="1"/>
    <col min="11" max="11" width="15.42578125" style="1" customWidth="1"/>
    <col min="12" max="12" width="17.140625" style="1" customWidth="1"/>
    <col min="13" max="13" width="20.28515625" style="1" customWidth="1"/>
    <col min="14" max="14" width="17.42578125" style="1" customWidth="1"/>
    <col min="15" max="15" width="14.42578125" style="1" customWidth="1"/>
    <col min="16" max="17" width="14.7109375" style="1" customWidth="1"/>
    <col min="18" max="18" width="15" style="1" customWidth="1"/>
    <col min="19" max="19" width="17.42578125" style="1" customWidth="1"/>
    <col min="20" max="20" width="17.140625" style="1" customWidth="1"/>
    <col min="21" max="23" width="8.85546875" style="1" customWidth="1"/>
    <col min="24" max="16384" width="8.85546875" style="1"/>
  </cols>
  <sheetData>
    <row r="1" spans="1:22" ht="17.45" customHeight="1" x14ac:dyDescent="0.25">
      <c r="A1" s="2"/>
      <c r="B1" s="3" t="str">
        <f>IF($C$1="Русский","Выберите:","Select:")</f>
        <v>Выберите:</v>
      </c>
      <c r="C1" s="4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3.45" customHeight="1" x14ac:dyDescent="0.35">
      <c r="A2" s="2"/>
      <c r="B2" s="5"/>
      <c r="C2" s="245" t="str">
        <f>IF($C$1="Русский","Таблица 1: Общая характеристика потенциальных створов для строительства новых МГЭС","Table 1: General characteristics of potential aligments for the construction of new SHPPs")</f>
        <v>Таблица 1: Общая характеристика потенциальных створов для строительства новых МГЭС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"/>
      <c r="V2" s="2"/>
    </row>
    <row r="3" spans="1:22" ht="21.75" customHeight="1" x14ac:dyDescent="0.2">
      <c r="A3" s="6"/>
      <c r="B3" s="110" t="str">
        <f>IF($C$1="Русский","№ створа","No aligment")</f>
        <v>№ створа</v>
      </c>
      <c r="C3" s="193" t="str">
        <f>IF($C$1="Русский","Наименование створа","Name of the river alignment")</f>
        <v>Наименование створа</v>
      </c>
      <c r="D3" s="197" t="str">
        <f>IF($C$1="Русский","Координаты створа","River alignment coordinates")</f>
        <v>Координаты створа</v>
      </c>
      <c r="E3" s="199"/>
      <c r="F3" s="116" t="str">
        <f>IF($C$1="Русский","(№ водн. поста по ГВК) Наим.-е реки и привязка водного поста","(No. of the water post according to the state water cadastre) Name of the river and binding of the water post")</f>
        <v>(№ водн. поста по ГВК) Наим.-е реки и привязка водного поста</v>
      </c>
      <c r="G3" s="247" t="str">
        <f>IF($C$1="Русский","Гидроэнергетические характеристики","Hydropower characteristics")</f>
        <v>Гидроэнергетические характеристики</v>
      </c>
      <c r="H3" s="248"/>
      <c r="I3" s="248"/>
      <c r="J3" s="248"/>
      <c r="K3" s="249"/>
      <c r="L3" s="197" t="str">
        <f>IF($C$1="Русский","Близлежащие населённые пункты","Nearby settlements")</f>
        <v>Близлежащие населённые пункты</v>
      </c>
      <c r="M3" s="198"/>
      <c r="N3" s="199"/>
      <c r="O3" s="197" t="str">
        <f>IF($C$1="Русский","Электрическая сеть","Electrical grid")</f>
        <v>Электрическая сеть</v>
      </c>
      <c r="P3" s="199"/>
      <c r="Q3" s="197" t="str">
        <f>IF($C$1="Русский","Дорожная сеть","Road infrastructure")</f>
        <v>Дорожная сеть</v>
      </c>
      <c r="R3" s="198"/>
      <c r="S3" s="199"/>
      <c r="T3" s="191" t="str">
        <f>IF($C$1="Русский","Примечание","Note")</f>
        <v>Примечание</v>
      </c>
      <c r="U3" s="7"/>
      <c r="V3" s="2"/>
    </row>
    <row r="4" spans="1:22" ht="109.5" customHeight="1" x14ac:dyDescent="0.2">
      <c r="A4" s="6"/>
      <c r="B4" s="111"/>
      <c r="C4" s="194"/>
      <c r="D4" s="8" t="str">
        <f>IF($C$1="Русский","Широта","Latitude (С = W)")</f>
        <v>Широта</v>
      </c>
      <c r="E4" s="9" t="str">
        <f>IF($C$1="Русский","Долгота","Longitude (В = E)")</f>
        <v>Долгота</v>
      </c>
      <c r="F4" s="104"/>
      <c r="G4" s="8" t="str">
        <f>IF($C$1="Русский","Средний уклон участка реки, м/км","Average slope of the river section, m/km")</f>
        <v>Средний уклон участка реки, м/км</v>
      </c>
      <c r="H4" s="10" t="str">
        <f>IF($C$1="Русский","средний из наименьших годовых расходов за многолетний ряд наблюдений","average of the lowest annual costs over a long-term series of observations")</f>
        <v>средний из наименьших годовых расходов за многолетний ряд наблюдений</v>
      </c>
      <c r="I4" s="11" t="str">
        <f>IF($C$1="Русский","Потенциал 1 км реки по расходу графы (7), кВт/км","Potential of 1 km of the river according to the discharge of column (7), kW / km")</f>
        <v>Потенциал 1 км реки по расходу графы (7), кВт/км</v>
      </c>
      <c r="J4" s="10" t="str">
        <f>IF($C$1="Русский","Наим. из среднегодовых расходов за многолетний ряд наблюдений","The smallest of the average annual costs for a long-term series of observations")</f>
        <v>Наим. из среднегодовых расходов за многолетний ряд наблюдений</v>
      </c>
      <c r="K4" s="9" t="str">
        <f>IF($C$1="Русский","Потенциал 1 км реки по расходу графы (9), кВт/км","Potential of 1 km of the river according to the discharge column (9), kW / km")</f>
        <v>Потенциал 1 км реки по расходу графы (9), кВт/км</v>
      </c>
      <c r="L4" s="8" t="str">
        <f>IF($C$1="Русский","Наименование","Name")</f>
        <v>Наименование</v>
      </c>
      <c r="M4" s="11" t="str">
        <f>IF($C$1="Русский","Ориентировочное число жителей (хозяйств)","Estimated number of inhabitants (farms)")</f>
        <v>Ориентировочное число жителей (хозяйств)</v>
      </c>
      <c r="N4" s="9" t="str">
        <f>IF($C$1="Русский","Растояние от створа, км","Distance from the alignment, km")</f>
        <v>Растояние от створа, км</v>
      </c>
      <c r="O4" s="8" t="str">
        <f>IF($C$1="Русский","Напряжение 35÷100 кВ и выше ","Voltage 35÷100 kV and above")</f>
        <v xml:space="preserve">Напряжение 35÷100 кВ и выше </v>
      </c>
      <c r="P4" s="9" t="str">
        <f>IF($C$1="Русский","Напряжение 6÷10 кВ","Voltage 6÷10 kV")</f>
        <v>Напряжение 6÷10 кВ</v>
      </c>
      <c r="Q4" s="8" t="str">
        <f>IF($C$1="Русский","с твёрдым покрытием","solid pavement")</f>
        <v>с твёрдым покрытием</v>
      </c>
      <c r="R4" s="11" t="str">
        <f>IF($C$1="Русский","улучшенная грунтовая","improved ground")</f>
        <v>улучшенная грунтовая</v>
      </c>
      <c r="S4" s="9" t="str">
        <f>IF($C$1="Русский","Грунтовая (просёлочная)","Ground country road")</f>
        <v>Грунтовая (просёлочная)</v>
      </c>
      <c r="T4" s="192"/>
      <c r="U4" s="7"/>
      <c r="V4" s="2"/>
    </row>
    <row r="5" spans="1:22" ht="22.5" customHeight="1" x14ac:dyDescent="0.2">
      <c r="A5" s="6"/>
      <c r="B5" s="12">
        <v>1</v>
      </c>
      <c r="C5" s="12">
        <v>2</v>
      </c>
      <c r="D5" s="13">
        <v>3</v>
      </c>
      <c r="E5" s="14">
        <v>4</v>
      </c>
      <c r="F5" s="12">
        <v>5</v>
      </c>
      <c r="G5" s="13">
        <v>6</v>
      </c>
      <c r="H5" s="15">
        <v>7</v>
      </c>
      <c r="I5" s="15">
        <v>8</v>
      </c>
      <c r="J5" s="15">
        <v>9</v>
      </c>
      <c r="K5" s="14">
        <v>10</v>
      </c>
      <c r="L5" s="13">
        <v>11</v>
      </c>
      <c r="M5" s="15">
        <v>12</v>
      </c>
      <c r="N5" s="14">
        <v>13</v>
      </c>
      <c r="O5" s="13">
        <v>14</v>
      </c>
      <c r="P5" s="14">
        <v>15</v>
      </c>
      <c r="Q5" s="13">
        <v>16</v>
      </c>
      <c r="R5" s="15">
        <v>17</v>
      </c>
      <c r="S5" s="16">
        <v>18</v>
      </c>
      <c r="T5" s="17">
        <v>19</v>
      </c>
      <c r="U5" s="7"/>
      <c r="V5" s="2"/>
    </row>
    <row r="6" spans="1:22" ht="35.25" customHeight="1" x14ac:dyDescent="0.2">
      <c r="A6" s="6"/>
      <c r="B6" s="252" t="str">
        <f>IF($C$1="Русский","Чуйская область","Chui region")</f>
        <v>Чуйская область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4"/>
      <c r="U6" s="7"/>
      <c r="V6" s="2"/>
    </row>
    <row r="7" spans="1:22" ht="75" customHeight="1" x14ac:dyDescent="0.2">
      <c r="A7" s="18"/>
      <c r="B7" s="19">
        <v>1</v>
      </c>
      <c r="C7" s="20" t="str">
        <f>IF($C$1="Русский","Чон-Кеминская-1","Chon-Keminskaya-1")</f>
        <v>Чон-Кеминская-1</v>
      </c>
      <c r="D7" s="21" t="s">
        <v>1</v>
      </c>
      <c r="E7" s="22" t="s">
        <v>2</v>
      </c>
      <c r="F7" s="188" t="str">
        <f>IF($C$1="Русский","(№214) р. Чон-Кемин- Устье р.Карагайли-булак","No 214 Chon-Kemin the mouth of river Karagaili bulak river")</f>
        <v>(№214) р. Чон-Кемин- Устье р.Карагайли-булак</v>
      </c>
      <c r="G7" s="23">
        <v>22.5</v>
      </c>
      <c r="H7" s="77">
        <v>3.82</v>
      </c>
      <c r="I7" s="24">
        <f>0.8*9.81*G7*H7/0.8</f>
        <v>843.16949999999997</v>
      </c>
      <c r="J7" s="77">
        <v>13.3</v>
      </c>
      <c r="K7" s="25">
        <f>0.8*9.81*G7*J7/0.8</f>
        <v>2935.6424999999999</v>
      </c>
      <c r="L7" s="26" t="str">
        <f>IF($C$1="Русский","Каинды","Kaindy")</f>
        <v>Каинды</v>
      </c>
      <c r="M7" s="27" t="s">
        <v>3</v>
      </c>
      <c r="N7" s="28" t="str">
        <f>IF($C$1="Русский","6 км от дальнего створа; 1,8 км от ближнего створа","6 km from the far alignment; 1.8 km from the nearest alignment")</f>
        <v>6 км от дальнего створа; 1,8 км от ближнего створа</v>
      </c>
      <c r="O7" s="151" t="str">
        <f>IF($C$1="Русский","существует в 16 км от створа","available 16 km from the alignment")</f>
        <v>существует в 16 км от створа</v>
      </c>
      <c r="P7" s="114" t="str">
        <f>IF($C$1="Русский","существует","available")</f>
        <v>существует</v>
      </c>
      <c r="Q7" s="151" t="str">
        <f>IF($C$1="Русский","существует","available")</f>
        <v>существует</v>
      </c>
      <c r="R7" s="187"/>
      <c r="S7" s="165"/>
      <c r="T7" s="188" t="str">
        <f>IF($C$1="Русский","Распределительные подстанции","Distribution substations")</f>
        <v>Распределительные подстанции</v>
      </c>
      <c r="U7" s="7"/>
      <c r="V7" s="2"/>
    </row>
    <row r="8" spans="1:22" ht="12.75" customHeight="1" x14ac:dyDescent="0.2">
      <c r="A8" s="6"/>
      <c r="B8" s="244">
        <v>2</v>
      </c>
      <c r="C8" s="144" t="str">
        <f>IF($C$1="Русский","Чон-Кеминская-2","Chon-Keminskaya-2")</f>
        <v>Чон-Кеминская-2</v>
      </c>
      <c r="D8" s="146" t="s">
        <v>4</v>
      </c>
      <c r="E8" s="143" t="s">
        <v>5</v>
      </c>
      <c r="F8" s="189"/>
      <c r="G8" s="148">
        <v>15</v>
      </c>
      <c r="H8" s="85"/>
      <c r="I8" s="132">
        <f>0.8*9.81*G8*H7/0.8</f>
        <v>562.11299999999994</v>
      </c>
      <c r="J8" s="85"/>
      <c r="K8" s="93">
        <f>0.8*9.81*G8*J7/0.8</f>
        <v>1957.095</v>
      </c>
      <c r="L8" s="131" t="str">
        <f>IF($C$1="Русский","4 посёлка","4 villages")</f>
        <v>4 посёлка</v>
      </c>
      <c r="M8" s="137" t="s">
        <v>6</v>
      </c>
      <c r="N8" s="143" t="str">
        <f>IF($C$1="Русский","в радиусе 10 км","within a radius of 10 km")</f>
        <v>в радиусе 10 км</v>
      </c>
      <c r="O8" s="130"/>
      <c r="P8" s="124"/>
      <c r="Q8" s="130"/>
      <c r="R8" s="96"/>
      <c r="S8" s="124"/>
      <c r="T8" s="189"/>
      <c r="U8" s="7"/>
      <c r="V8" s="2"/>
    </row>
    <row r="9" spans="1:22" ht="19.5" customHeight="1" x14ac:dyDescent="0.2">
      <c r="A9" s="6"/>
      <c r="B9" s="145"/>
      <c r="C9" s="145"/>
      <c r="D9" s="113"/>
      <c r="E9" s="115"/>
      <c r="F9" s="190"/>
      <c r="G9" s="121"/>
      <c r="H9" s="78"/>
      <c r="I9" s="109"/>
      <c r="J9" s="78"/>
      <c r="K9" s="94"/>
      <c r="L9" s="121"/>
      <c r="M9" s="138"/>
      <c r="N9" s="115"/>
      <c r="O9" s="121"/>
      <c r="P9" s="115"/>
      <c r="Q9" s="121"/>
      <c r="R9" s="97"/>
      <c r="S9" s="115"/>
      <c r="T9" s="190"/>
      <c r="U9" s="7"/>
      <c r="V9" s="2"/>
    </row>
    <row r="10" spans="1:22" ht="33.75" customHeight="1" x14ac:dyDescent="0.2">
      <c r="A10" s="6"/>
      <c r="B10" s="241">
        <v>3</v>
      </c>
      <c r="C10" s="149" t="str">
        <f>IF($C$1="Русский","Чон-Кеминская-3","Chon-Keminskaya-3")</f>
        <v>Чон-Кеминская-3</v>
      </c>
      <c r="D10" s="112" t="s">
        <v>7</v>
      </c>
      <c r="E10" s="114" t="s">
        <v>8</v>
      </c>
      <c r="F10" s="188" t="str">
        <f>IF($C$1="Русский","(№215) р. Чон-Кемин - устье","No 215 the mouth of Chon-Kemin river")</f>
        <v>(№215) р. Чон-Кемин - устье</v>
      </c>
      <c r="G10" s="120">
        <v>15</v>
      </c>
      <c r="H10" s="77">
        <v>8.09</v>
      </c>
      <c r="I10" s="179">
        <f>0.8*9.81*G10*H10/0.8</f>
        <v>1190.4435000000001</v>
      </c>
      <c r="J10" s="77">
        <v>16.7</v>
      </c>
      <c r="K10" s="88">
        <f>0.8*9.81*G10*J10/0.8</f>
        <v>2457.4050000000002</v>
      </c>
      <c r="L10" s="26" t="str">
        <f>IF($C$1="Русский","Советское","Sovetskoe")</f>
        <v>Советское</v>
      </c>
      <c r="M10" s="37" t="s">
        <v>9</v>
      </c>
      <c r="N10" s="38">
        <v>6</v>
      </c>
      <c r="O10" s="151" t="str">
        <f>IF($C$1="Русский","существует","available")</f>
        <v>существует</v>
      </c>
      <c r="P10" s="165"/>
      <c r="Q10" s="151" t="str">
        <f>IF($C$1="Русский","существует","available")</f>
        <v>существует</v>
      </c>
      <c r="R10" s="187"/>
      <c r="S10" s="165"/>
      <c r="T10" s="188" t="str">
        <f>IF($C$1="Русский","Чуйская ГЭС в 12 км от створа","Chui HPP 12 km from the alignment")</f>
        <v>Чуйская ГЭС в 12 км от створа</v>
      </c>
      <c r="U10" s="7"/>
      <c r="V10" s="2"/>
    </row>
    <row r="11" spans="1:22" ht="30" customHeight="1" x14ac:dyDescent="0.2">
      <c r="A11" s="6"/>
      <c r="B11" s="145"/>
      <c r="C11" s="145"/>
      <c r="D11" s="113"/>
      <c r="E11" s="115"/>
      <c r="F11" s="190"/>
      <c r="G11" s="121"/>
      <c r="H11" s="78"/>
      <c r="I11" s="180"/>
      <c r="J11" s="78"/>
      <c r="K11" s="89"/>
      <c r="L11" s="8" t="str">
        <f>IF($C$1="Русский","3 посёлка","3 villages")</f>
        <v>3 посёлка</v>
      </c>
      <c r="M11" s="36" t="s">
        <v>10</v>
      </c>
      <c r="N11" s="9" t="str">
        <f>IF($C$1="Русский","в радиусе 10 км","within a radius of 10 km")</f>
        <v>в радиусе 10 км</v>
      </c>
      <c r="O11" s="121"/>
      <c r="P11" s="115"/>
      <c r="Q11" s="121"/>
      <c r="R11" s="97"/>
      <c r="S11" s="115"/>
      <c r="T11" s="190"/>
      <c r="U11" s="7"/>
      <c r="V11" s="2"/>
    </row>
    <row r="12" spans="1:22" ht="40.5" customHeight="1" x14ac:dyDescent="0.2">
      <c r="A12" s="6"/>
      <c r="B12" s="19">
        <v>4</v>
      </c>
      <c r="C12" s="20" t="str">
        <f>IF($C$1="Русский","Шамсинская-1","Shamsinskaya-1")</f>
        <v>Шамсинская-1</v>
      </c>
      <c r="D12" s="21" t="s">
        <v>11</v>
      </c>
      <c r="E12" s="22" t="s">
        <v>12</v>
      </c>
      <c r="F12" s="116" t="str">
        <f>IF($C$1="Русский","(№224) р. Шамси- Лесной кордон","No 224 the Shamsea river forest cordon")</f>
        <v>(№224) р. Шамси- Лесной кордон</v>
      </c>
      <c r="G12" s="120">
        <v>30</v>
      </c>
      <c r="H12" s="77">
        <v>1.23</v>
      </c>
      <c r="I12" s="179">
        <f>0.8*9.81*G12*H12/0.8</f>
        <v>361.98899999999998</v>
      </c>
      <c r="J12" s="79">
        <v>3.65</v>
      </c>
      <c r="K12" s="88">
        <f>0.8*9.81*G12*J12/0.8</f>
        <v>1074.1950000000002</v>
      </c>
      <c r="L12" s="151" t="str">
        <f>IF($C$1="Русский","Калиновка","Kalinovka")</f>
        <v>Калиновка</v>
      </c>
      <c r="M12" s="82" t="s">
        <v>13</v>
      </c>
      <c r="N12" s="185" t="str">
        <f>IF($C$1="Русский","1,2 км от ближнего створа, 7 км от дальнего створа","7 km from the far alignment; 1.2 km from the nearest alignment")</f>
        <v>1,2 км от ближнего створа, 7 км от дальнего створа</v>
      </c>
      <c r="O12" s="168" t="str">
        <f>IF($C$1="Русский","существует в 1,2 км от ближнего створа","available 1,2 km from the nearest alignment")</f>
        <v>существует в 1,2 км от ближнего створа</v>
      </c>
      <c r="P12" s="107" t="str">
        <f>IF($C$1="Русский","существует","available")</f>
        <v>существует</v>
      </c>
      <c r="Q12" s="105"/>
      <c r="R12" s="168" t="str">
        <f>IF($C$1="Русский","существует в  2 км от ближнего створа","available 2 km from the nearest alignment")</f>
        <v>существует в  2 км от ближнего створа</v>
      </c>
      <c r="S12" s="107" t="str">
        <f>IF($C$1="Русский","существует","available")</f>
        <v>существует</v>
      </c>
      <c r="T12" s="103"/>
      <c r="U12" s="7"/>
      <c r="V12" s="2"/>
    </row>
    <row r="13" spans="1:22" ht="46.5" customHeight="1" x14ac:dyDescent="0.2">
      <c r="A13" s="6"/>
      <c r="B13" s="29">
        <v>5</v>
      </c>
      <c r="C13" s="30" t="str">
        <f>IF($C$1="Русский","Шамсинская-2","Shamsinskaya-2")</f>
        <v>Шамсинская-2</v>
      </c>
      <c r="D13" s="31" t="s">
        <v>14</v>
      </c>
      <c r="E13" s="32" t="s">
        <v>15</v>
      </c>
      <c r="F13" s="128"/>
      <c r="G13" s="130"/>
      <c r="H13" s="85"/>
      <c r="I13" s="184"/>
      <c r="J13" s="80"/>
      <c r="K13" s="91"/>
      <c r="L13" s="130"/>
      <c r="M13" s="83"/>
      <c r="N13" s="186"/>
      <c r="O13" s="126"/>
      <c r="P13" s="127"/>
      <c r="Q13" s="125"/>
      <c r="R13" s="126"/>
      <c r="S13" s="127"/>
      <c r="T13" s="128"/>
      <c r="U13" s="7"/>
      <c r="V13" s="2"/>
    </row>
    <row r="14" spans="1:22" ht="40.5" customHeight="1" x14ac:dyDescent="0.2">
      <c r="A14" s="6"/>
      <c r="B14" s="29">
        <v>6</v>
      </c>
      <c r="C14" s="30" t="str">
        <f>IF($C$1="Русский","Шамсинская-3","Shamsinskaya-3")</f>
        <v>Шамсинская-3</v>
      </c>
      <c r="D14" s="31" t="s">
        <v>16</v>
      </c>
      <c r="E14" s="32" t="s">
        <v>17</v>
      </c>
      <c r="F14" s="128"/>
      <c r="G14" s="130"/>
      <c r="H14" s="85"/>
      <c r="I14" s="184"/>
      <c r="J14" s="80"/>
      <c r="K14" s="91"/>
      <c r="L14" s="131" t="str">
        <f>IF($C$1="Русский","14 населённых пунктов","14 communities")</f>
        <v>14 населённых пунктов</v>
      </c>
      <c r="M14" s="83" t="s">
        <v>18</v>
      </c>
      <c r="N14" s="83" t="str">
        <f>IF($C$1="Русский","в радиусе 10 км","within a radius of 10 km")</f>
        <v>в радиусе 10 км</v>
      </c>
      <c r="O14" s="126"/>
      <c r="P14" s="127"/>
      <c r="Q14" s="125"/>
      <c r="R14" s="126"/>
      <c r="S14" s="127"/>
      <c r="T14" s="128"/>
      <c r="U14" s="7"/>
      <c r="V14" s="2"/>
    </row>
    <row r="15" spans="1:22" ht="40.5" customHeight="1" x14ac:dyDescent="0.2">
      <c r="A15" s="6"/>
      <c r="B15" s="40">
        <v>7</v>
      </c>
      <c r="C15" s="41" t="str">
        <f>IF($C$1="Русский","Шамсинская-4","Shamsinskaya-4")</f>
        <v>Шамсинская-4</v>
      </c>
      <c r="D15" s="42" t="s">
        <v>19</v>
      </c>
      <c r="E15" s="9" t="s">
        <v>20</v>
      </c>
      <c r="F15" s="104"/>
      <c r="G15" s="121"/>
      <c r="H15" s="78"/>
      <c r="I15" s="180"/>
      <c r="J15" s="81"/>
      <c r="K15" s="89"/>
      <c r="L15" s="121"/>
      <c r="M15" s="84"/>
      <c r="N15" s="97"/>
      <c r="O15" s="119"/>
      <c r="P15" s="102"/>
      <c r="Q15" s="106"/>
      <c r="R15" s="119"/>
      <c r="S15" s="102"/>
      <c r="T15" s="104"/>
      <c r="U15" s="7"/>
      <c r="V15" s="2"/>
    </row>
    <row r="16" spans="1:22" ht="75" customHeight="1" x14ac:dyDescent="0.2">
      <c r="A16" s="6"/>
      <c r="B16" s="19">
        <v>8</v>
      </c>
      <c r="C16" s="20" t="str">
        <f>IF($C$1="Русский","Иссык-Атинская-1","Issyk-Atinskaya-1")</f>
        <v>Иссык-Атинская-1</v>
      </c>
      <c r="D16" s="21" t="s">
        <v>21</v>
      </c>
      <c r="E16" s="22" t="s">
        <v>22</v>
      </c>
      <c r="F16" s="116" t="str">
        <f>IF($C$1="Русский","(№228) р. Иссыката- с.Юрьевка","No 228 the Issykata river the Yurievka village")</f>
        <v>(№228) р. Иссыката- с.Юрьевка</v>
      </c>
      <c r="G16" s="120">
        <v>30</v>
      </c>
      <c r="H16" s="77">
        <v>2.67</v>
      </c>
      <c r="I16" s="179">
        <f>0.8*9.81*G16*H16/0.8</f>
        <v>785.78100000000006</v>
      </c>
      <c r="J16" s="77">
        <v>4.87</v>
      </c>
      <c r="K16" s="88">
        <f>0.8*9.81*G16*J16/0.8</f>
        <v>1433.241</v>
      </c>
      <c r="L16" s="26" t="str">
        <f>IF($C$1="Русский","Юрьевка","Yur'evka")</f>
        <v>Юрьевка</v>
      </c>
      <c r="M16" s="27" t="s">
        <v>23</v>
      </c>
      <c r="N16" s="28" t="str">
        <f>IF($C$1="Русский","15 км от дальнего створа; 3 км от ближнего створа","15 km from the far alignment; 3 km from the nearest alignment")</f>
        <v>15 км от дальнего створа; 3 км от ближнего створа</v>
      </c>
      <c r="O16" s="117" t="str">
        <f>IF($C$1="Русский","существует","available")</f>
        <v>существует</v>
      </c>
      <c r="P16" s="101"/>
      <c r="Q16" s="117" t="str">
        <f>IF($C$1="Русский","существует","available")</f>
        <v>существует</v>
      </c>
      <c r="R16" s="118"/>
      <c r="S16" s="101"/>
      <c r="T16" s="116" t="str">
        <f>IF($C$1="Русский","ГСМ","fuel")</f>
        <v>ГСМ</v>
      </c>
      <c r="U16" s="7"/>
      <c r="V16" s="2"/>
    </row>
    <row r="17" spans="1:22" ht="46.5" customHeight="1" x14ac:dyDescent="0.2">
      <c r="A17" s="6"/>
      <c r="B17" s="29">
        <v>9</v>
      </c>
      <c r="C17" s="30" t="str">
        <f>IF($C$1="Русский","Иссык-Атинская-2","Issyk-Atinskaya-2")</f>
        <v>Иссык-Атинская-2</v>
      </c>
      <c r="D17" s="31" t="s">
        <v>24</v>
      </c>
      <c r="E17" s="32" t="s">
        <v>25</v>
      </c>
      <c r="F17" s="128"/>
      <c r="G17" s="130"/>
      <c r="H17" s="85"/>
      <c r="I17" s="184"/>
      <c r="J17" s="85"/>
      <c r="K17" s="91"/>
      <c r="L17" s="131" t="str">
        <f>IF($C$1="Русский","10 посёлков","10 villages")</f>
        <v>10 посёлков</v>
      </c>
      <c r="M17" s="137" t="s">
        <v>26</v>
      </c>
      <c r="N17" s="143" t="str">
        <f>IF($C$1="Русский","в радиусе 10 км","within a radius of 10 km")</f>
        <v>в радиусе 10 км</v>
      </c>
      <c r="O17" s="125"/>
      <c r="P17" s="127"/>
      <c r="Q17" s="125"/>
      <c r="R17" s="126"/>
      <c r="S17" s="127"/>
      <c r="T17" s="128"/>
      <c r="U17" s="7"/>
      <c r="V17" s="2"/>
    </row>
    <row r="18" spans="1:22" ht="12.75" customHeight="1" x14ac:dyDescent="0.2">
      <c r="A18" s="6"/>
      <c r="B18" s="244">
        <v>10</v>
      </c>
      <c r="C18" s="144" t="str">
        <f>IF($C$1="Русский","Иссык-Атинская-3","Issyk-Atinskaya-3")</f>
        <v>Иссык-Атинская-3</v>
      </c>
      <c r="D18" s="146" t="s">
        <v>27</v>
      </c>
      <c r="E18" s="143" t="s">
        <v>28</v>
      </c>
      <c r="F18" s="128"/>
      <c r="G18" s="130"/>
      <c r="H18" s="85"/>
      <c r="I18" s="184"/>
      <c r="J18" s="85"/>
      <c r="K18" s="91"/>
      <c r="L18" s="130"/>
      <c r="M18" s="137"/>
      <c r="N18" s="124"/>
      <c r="O18" s="125"/>
      <c r="P18" s="127"/>
      <c r="Q18" s="125"/>
      <c r="R18" s="126"/>
      <c r="S18" s="127"/>
      <c r="T18" s="128"/>
      <c r="U18" s="7"/>
      <c r="V18" s="2"/>
    </row>
    <row r="19" spans="1:22" ht="42.75" customHeight="1" x14ac:dyDescent="0.2">
      <c r="A19" s="6"/>
      <c r="B19" s="150"/>
      <c r="C19" s="150"/>
      <c r="D19" s="123"/>
      <c r="E19" s="124"/>
      <c r="F19" s="128"/>
      <c r="G19" s="130"/>
      <c r="H19" s="85"/>
      <c r="I19" s="184"/>
      <c r="J19" s="85"/>
      <c r="K19" s="91"/>
      <c r="L19" s="130"/>
      <c r="M19" s="137"/>
      <c r="N19" s="124"/>
      <c r="O19" s="125"/>
      <c r="P19" s="127"/>
      <c r="Q19" s="125"/>
      <c r="R19" s="126"/>
      <c r="S19" s="127"/>
      <c r="T19" s="128"/>
      <c r="U19" s="7"/>
      <c r="V19" s="2"/>
    </row>
    <row r="20" spans="1:22" ht="54.75" customHeight="1" x14ac:dyDescent="0.2">
      <c r="A20" s="6"/>
      <c r="B20" s="29">
        <v>11</v>
      </c>
      <c r="C20" s="30" t="str">
        <f>IF($C$1="Русский","Иссык-Атинская-4","Issyk-Atinskaya-4")</f>
        <v>Иссык-Атинская-4</v>
      </c>
      <c r="D20" s="31" t="s">
        <v>29</v>
      </c>
      <c r="E20" s="32" t="s">
        <v>30</v>
      </c>
      <c r="F20" s="128"/>
      <c r="G20" s="130"/>
      <c r="H20" s="85"/>
      <c r="I20" s="184"/>
      <c r="J20" s="85"/>
      <c r="K20" s="91"/>
      <c r="L20" s="130"/>
      <c r="M20" s="137"/>
      <c r="N20" s="124"/>
      <c r="O20" s="125"/>
      <c r="P20" s="127"/>
      <c r="Q20" s="125"/>
      <c r="R20" s="126"/>
      <c r="S20" s="127"/>
      <c r="T20" s="128"/>
      <c r="U20" s="7"/>
      <c r="V20" s="2"/>
    </row>
    <row r="21" spans="1:22" ht="12.75" customHeight="1" x14ac:dyDescent="0.2">
      <c r="A21" s="6"/>
      <c r="B21" s="244">
        <v>12</v>
      </c>
      <c r="C21" s="144" t="str">
        <f>IF($C$1="Русский","Иссык-Атинская-5","Issyk-Atinskaya-5")</f>
        <v>Иссык-Атинская-5</v>
      </c>
      <c r="D21" s="146" t="s">
        <v>31</v>
      </c>
      <c r="E21" s="143" t="s">
        <v>32</v>
      </c>
      <c r="F21" s="128"/>
      <c r="G21" s="130"/>
      <c r="H21" s="85"/>
      <c r="I21" s="184"/>
      <c r="J21" s="85"/>
      <c r="K21" s="91"/>
      <c r="L21" s="130"/>
      <c r="M21" s="137"/>
      <c r="N21" s="124"/>
      <c r="O21" s="125"/>
      <c r="P21" s="127"/>
      <c r="Q21" s="125"/>
      <c r="R21" s="126"/>
      <c r="S21" s="127"/>
      <c r="T21" s="128"/>
      <c r="U21" s="7"/>
      <c r="V21" s="2"/>
    </row>
    <row r="22" spans="1:22" ht="12.75" customHeight="1" x14ac:dyDescent="0.2">
      <c r="A22" s="6"/>
      <c r="B22" s="150"/>
      <c r="C22" s="150"/>
      <c r="D22" s="123"/>
      <c r="E22" s="124"/>
      <c r="F22" s="128"/>
      <c r="G22" s="130"/>
      <c r="H22" s="85"/>
      <c r="I22" s="184"/>
      <c r="J22" s="85"/>
      <c r="K22" s="91"/>
      <c r="L22" s="130"/>
      <c r="M22" s="137"/>
      <c r="N22" s="124"/>
      <c r="O22" s="125"/>
      <c r="P22" s="127"/>
      <c r="Q22" s="125"/>
      <c r="R22" s="126"/>
      <c r="S22" s="127"/>
      <c r="T22" s="128"/>
      <c r="U22" s="7"/>
      <c r="V22" s="2"/>
    </row>
    <row r="23" spans="1:22" ht="15.75" customHeight="1" x14ac:dyDescent="0.2">
      <c r="A23" s="6"/>
      <c r="B23" s="150"/>
      <c r="C23" s="150"/>
      <c r="D23" s="123"/>
      <c r="E23" s="124"/>
      <c r="F23" s="128"/>
      <c r="G23" s="130"/>
      <c r="H23" s="85"/>
      <c r="I23" s="184"/>
      <c r="J23" s="85"/>
      <c r="K23" s="91"/>
      <c r="L23" s="130"/>
      <c r="M23" s="137"/>
      <c r="N23" s="124"/>
      <c r="O23" s="125"/>
      <c r="P23" s="127"/>
      <c r="Q23" s="125"/>
      <c r="R23" s="126"/>
      <c r="S23" s="127"/>
      <c r="T23" s="128"/>
      <c r="U23" s="7"/>
      <c r="V23" s="2"/>
    </row>
    <row r="24" spans="1:22" ht="17.25" customHeight="1" x14ac:dyDescent="0.2">
      <c r="A24" s="6"/>
      <c r="B24" s="145"/>
      <c r="C24" s="145"/>
      <c r="D24" s="113"/>
      <c r="E24" s="115"/>
      <c r="F24" s="104"/>
      <c r="G24" s="121"/>
      <c r="H24" s="78"/>
      <c r="I24" s="180"/>
      <c r="J24" s="78"/>
      <c r="K24" s="89"/>
      <c r="L24" s="121"/>
      <c r="M24" s="138"/>
      <c r="N24" s="115"/>
      <c r="O24" s="106"/>
      <c r="P24" s="102"/>
      <c r="Q24" s="106"/>
      <c r="R24" s="119"/>
      <c r="S24" s="102"/>
      <c r="T24" s="104"/>
      <c r="U24" s="7"/>
      <c r="V24" s="2"/>
    </row>
    <row r="25" spans="1:22" ht="40.5" customHeight="1" x14ac:dyDescent="0.2">
      <c r="A25" s="6"/>
      <c r="B25" s="17">
        <v>13</v>
      </c>
      <c r="C25" s="43" t="str">
        <f>IF($C$1="Русский","Алаарчинская-1","Alaarchinskaya-1")</f>
        <v>Алаарчинская-1</v>
      </c>
      <c r="D25" s="44" t="s">
        <v>33</v>
      </c>
      <c r="E25" s="45" t="s">
        <v>34</v>
      </c>
      <c r="F25" s="116" t="str">
        <f>IF($C$1="Русский","(№236, р. Алаарча-Устье р.Кашкасу)","No 236 the Alaarcha river - the mouth of river Kashkasu")</f>
        <v>(№236, р. Алаарча-Устье р.Кашкасу)</v>
      </c>
      <c r="G25" s="120">
        <v>49</v>
      </c>
      <c r="H25" s="77">
        <v>1.2</v>
      </c>
      <c r="I25" s="179">
        <f>0.8*9.81*G25*H25/0.8</f>
        <v>576.82799999999997</v>
      </c>
      <c r="J25" s="77">
        <v>3.13</v>
      </c>
      <c r="K25" s="88">
        <f>0.8*9.81*G25*J25/0.8</f>
        <v>1504.5597</v>
      </c>
      <c r="L25" s="26" t="str">
        <f>IF($C$1="Русский","Кашкасу","Kashkasu")</f>
        <v>Кашкасу</v>
      </c>
      <c r="M25" s="27" t="s">
        <v>35</v>
      </c>
      <c r="N25" s="38">
        <v>1</v>
      </c>
      <c r="O25" s="117" t="str">
        <f>IF($C$1="Русский","330 кВ в 4 км от ближнего створа","330 kV 4 km from the nearest alignment")</f>
        <v>330 кВ в 4 км от ближнего створа</v>
      </c>
      <c r="P25" s="107" t="str">
        <f>IF($C$1="Русский","существует в 1 км от ближайшего створа","available 1 km from the nearest alignment")</f>
        <v>существует в 1 км от ближайшего створа</v>
      </c>
      <c r="Q25" s="117" t="str">
        <f>IF($C$1="Русский","существует","available")</f>
        <v>существует</v>
      </c>
      <c r="R25" s="118"/>
      <c r="S25" s="101"/>
      <c r="T25" s="116" t="str">
        <f>IF($C$1="Русский","Электрическая станция, зем. плотина, ГСМ, ГЭС в 18 км","Electric station, land. dam, fuel, hydroelectric power station 18 km")</f>
        <v>Электрическая станция, зем. плотина, ГСМ, ГЭС в 18 км</v>
      </c>
      <c r="U25" s="7"/>
      <c r="V25" s="2"/>
    </row>
    <row r="26" spans="1:22" ht="46.5" customHeight="1" x14ac:dyDescent="0.2">
      <c r="A26" s="6"/>
      <c r="B26" s="17">
        <v>14</v>
      </c>
      <c r="C26" s="43" t="str">
        <f>IF($C$1="Русский","Алаарчинская-2","Alaarchinskaya-2")</f>
        <v>Алаарчинская-2</v>
      </c>
      <c r="D26" s="44" t="s">
        <v>36</v>
      </c>
      <c r="E26" s="45" t="s">
        <v>37</v>
      </c>
      <c r="F26" s="104"/>
      <c r="G26" s="121"/>
      <c r="H26" s="78"/>
      <c r="I26" s="180"/>
      <c r="J26" s="78"/>
      <c r="K26" s="89"/>
      <c r="L26" s="8" t="str">
        <f>IF($C$1="Русский","9 посёлков","9 villages")</f>
        <v>9 посёлков</v>
      </c>
      <c r="M26" s="36" t="s">
        <v>38</v>
      </c>
      <c r="N26" s="9" t="str">
        <f>IF($C$1="Русский","в радиусе 15 км","within a radius of 15 km")</f>
        <v>в радиусе 15 км</v>
      </c>
      <c r="O26" s="106"/>
      <c r="P26" s="102"/>
      <c r="Q26" s="106"/>
      <c r="R26" s="119"/>
      <c r="S26" s="102"/>
      <c r="T26" s="104"/>
      <c r="U26" s="7"/>
      <c r="V26" s="2"/>
    </row>
    <row r="27" spans="1:22" ht="40.5" customHeight="1" x14ac:dyDescent="0.2">
      <c r="A27" s="6"/>
      <c r="B27" s="19">
        <v>15</v>
      </c>
      <c r="C27" s="20" t="str">
        <f>IF($C$1="Русский","Сокулукская-1","Sokulukskaya-1")</f>
        <v>Сокулукская-1</v>
      </c>
      <c r="D27" s="21" t="s">
        <v>39</v>
      </c>
      <c r="E27" s="22" t="s">
        <v>40</v>
      </c>
      <c r="F27" s="116" t="str">
        <f>IF($C$1="Русский","(№24)  р. Сокулук-с.Белогорка","No 24 the Sokuluk river - the Belogorka village")</f>
        <v>(№24)  р. Сокулук-с.Белогорка</v>
      </c>
      <c r="G27" s="120">
        <v>30</v>
      </c>
      <c r="H27" s="77">
        <v>1.28</v>
      </c>
      <c r="I27" s="179">
        <f>0.8*9.81*G27*H27/0.8</f>
        <v>376.70400000000006</v>
      </c>
      <c r="J27" s="77">
        <v>3.95</v>
      </c>
      <c r="K27" s="88">
        <f>0.8*9.81*G27*J27/0.8</f>
        <v>1162.4850000000001</v>
      </c>
      <c r="L27" s="26" t="str">
        <f>IF($C$1="Русский","Белогорка","Belogorka")</f>
        <v>Белогорка</v>
      </c>
      <c r="M27" s="27" t="s">
        <v>41</v>
      </c>
      <c r="N27" s="22" t="str">
        <f>IF($C$1="Русский","0 км (от 2-го и 3-го створов)","0 km (from the 2nd and 3rd alignments)")</f>
        <v>0 км (от 2-го и 3-го створов)</v>
      </c>
      <c r="O27" s="159" t="str">
        <f>IF($C$1="Русский","110 кВ в 8 км от ближайшего створа; 330 кВ в 3 км от среднего створа","110 kV 8 km from the nearest alignment; 330 kV 3 km from the middle alignment")</f>
        <v>110 кВ в 8 км от ближайшего створа; 330 кВ в 3 км от среднего створа</v>
      </c>
      <c r="P27" s="107" t="str">
        <f>IF($C$1="Русский","существует","available")</f>
        <v>существует</v>
      </c>
      <c r="Q27" s="159" t="str">
        <f>IF($C$1="Русский","существует до среднего створа","available up to the middle alignment")</f>
        <v>существует до среднего створа</v>
      </c>
      <c r="R27" s="118"/>
      <c r="S27" s="171" t="str">
        <f>IF($C$1="Русский","существует от среднего створа до дальнего створа","available from the middle range to the far range")</f>
        <v>существует от среднего створа до дальнего створа</v>
      </c>
      <c r="T27" s="116" t="str">
        <f>IF($C$1="Русский","Распределительные подстанции","Distribution substations")</f>
        <v>Распределительные подстанции</v>
      </c>
      <c r="U27" s="7"/>
      <c r="V27" s="2"/>
    </row>
    <row r="28" spans="1:22" ht="46.5" customHeight="1" x14ac:dyDescent="0.2">
      <c r="A28" s="6"/>
      <c r="B28" s="29">
        <v>16</v>
      </c>
      <c r="C28" s="30" t="str">
        <f>IF($C$1="Русский","Сокулукская-2","Sokulukskaya-2")</f>
        <v>Сокулукская-2</v>
      </c>
      <c r="D28" s="31" t="s">
        <v>42</v>
      </c>
      <c r="E28" s="32" t="s">
        <v>43</v>
      </c>
      <c r="F28" s="128"/>
      <c r="G28" s="130"/>
      <c r="H28" s="85"/>
      <c r="I28" s="184"/>
      <c r="J28" s="85"/>
      <c r="K28" s="91"/>
      <c r="L28" s="33" t="str">
        <f>IF($C$1="Русский","Октябрь","Octyabr")</f>
        <v>Октябрь</v>
      </c>
      <c r="M28" s="34" t="s">
        <v>13</v>
      </c>
      <c r="N28" s="32" t="str">
        <f>IF($C$1="Русский","0 км (от 4-го и 5-го створов)","0 km (from the 4th and 5th alignments)")</f>
        <v>0 км (от 4-го и 5-го створов)</v>
      </c>
      <c r="O28" s="160"/>
      <c r="P28" s="127"/>
      <c r="Q28" s="160"/>
      <c r="R28" s="126"/>
      <c r="S28" s="172"/>
      <c r="T28" s="128"/>
      <c r="U28" s="7"/>
      <c r="V28" s="2"/>
    </row>
    <row r="29" spans="1:22" ht="40.5" customHeight="1" x14ac:dyDescent="0.2">
      <c r="A29" s="6"/>
      <c r="B29" s="29">
        <v>17</v>
      </c>
      <c r="C29" s="30" t="str">
        <f>IF($C$1="Русский","Сокулукская-3","Sokulukskaya-3")</f>
        <v>Сокулукская-3</v>
      </c>
      <c r="D29" s="31" t="s">
        <v>44</v>
      </c>
      <c r="E29" s="32" t="s">
        <v>45</v>
      </c>
      <c r="F29" s="128"/>
      <c r="G29" s="130"/>
      <c r="H29" s="85"/>
      <c r="I29" s="184"/>
      <c r="J29" s="85"/>
      <c r="K29" s="91"/>
      <c r="L29" s="133" t="str">
        <f>IF($C$1="Русский","9 посёлков","9 villages")</f>
        <v>9 посёлков</v>
      </c>
      <c r="M29" s="163" t="s">
        <v>46</v>
      </c>
      <c r="N29" s="136" t="str">
        <f>IF($C$1="Русский","в радиусе 10 км","within a radius of 10 km")</f>
        <v>в радиусе 10 км</v>
      </c>
      <c r="O29" s="160"/>
      <c r="P29" s="127"/>
      <c r="Q29" s="160"/>
      <c r="R29" s="126"/>
      <c r="S29" s="172"/>
      <c r="T29" s="128"/>
      <c r="U29" s="7"/>
      <c r="V29" s="2"/>
    </row>
    <row r="30" spans="1:22" ht="40.5" customHeight="1" x14ac:dyDescent="0.2">
      <c r="A30" s="6"/>
      <c r="B30" s="29">
        <v>18</v>
      </c>
      <c r="C30" s="30" t="str">
        <f>IF($C$1="Русский","Сокулукская-4","Sokulukskaya-4")</f>
        <v>Сокулукская-4</v>
      </c>
      <c r="D30" s="31" t="s">
        <v>47</v>
      </c>
      <c r="E30" s="32" t="s">
        <v>48</v>
      </c>
      <c r="F30" s="128"/>
      <c r="G30" s="130"/>
      <c r="H30" s="85"/>
      <c r="I30" s="184"/>
      <c r="J30" s="85"/>
      <c r="K30" s="91"/>
      <c r="L30" s="125"/>
      <c r="M30" s="177"/>
      <c r="N30" s="127"/>
      <c r="O30" s="160"/>
      <c r="P30" s="127"/>
      <c r="Q30" s="160"/>
      <c r="R30" s="126"/>
      <c r="S30" s="172"/>
      <c r="T30" s="128"/>
      <c r="U30" s="7"/>
      <c r="V30" s="2"/>
    </row>
    <row r="31" spans="1:22" ht="46.5" customHeight="1" x14ac:dyDescent="0.2">
      <c r="A31" s="6"/>
      <c r="B31" s="40">
        <v>19</v>
      </c>
      <c r="C31" s="41" t="str">
        <f>IF($C$1="Русский","Сокулукская-5","Sokulukskaya-5")</f>
        <v>Сокулукская-5</v>
      </c>
      <c r="D31" s="42" t="s">
        <v>49</v>
      </c>
      <c r="E31" s="9" t="s">
        <v>50</v>
      </c>
      <c r="F31" s="104"/>
      <c r="G31" s="121"/>
      <c r="H31" s="78"/>
      <c r="I31" s="180"/>
      <c r="J31" s="78"/>
      <c r="K31" s="89"/>
      <c r="L31" s="106"/>
      <c r="M31" s="164"/>
      <c r="N31" s="102"/>
      <c r="O31" s="161"/>
      <c r="P31" s="102"/>
      <c r="Q31" s="161"/>
      <c r="R31" s="119"/>
      <c r="S31" s="173"/>
      <c r="T31" s="104"/>
      <c r="U31" s="7"/>
      <c r="V31" s="2"/>
    </row>
    <row r="32" spans="1:22" ht="40.5" customHeight="1" x14ac:dyDescent="0.2">
      <c r="A32" s="6"/>
      <c r="B32" s="17">
        <v>20</v>
      </c>
      <c r="C32" s="43" t="str">
        <f>IF($C$1="Русский","Аламединская-1","Alamedinskaya-1")</f>
        <v>Аламединская-1</v>
      </c>
      <c r="D32" s="44" t="s">
        <v>51</v>
      </c>
      <c r="E32" s="45" t="s">
        <v>52</v>
      </c>
      <c r="F32" s="116" t="str">
        <f>IF($C$1="Русский","(№232) р. Аламедин-Устье р.Чункурчак","No 232 the Alamedin river - the mouth of river Chunkurchak")</f>
        <v>(№232) р. Аламедин-Устье р.Чункурчак</v>
      </c>
      <c r="G32" s="120">
        <v>35</v>
      </c>
      <c r="H32" s="77">
        <v>1.39</v>
      </c>
      <c r="I32" s="179">
        <f>0.8*9.81*G32*H32/0.8</f>
        <v>477.2564999999999</v>
      </c>
      <c r="J32" s="77">
        <v>4.54</v>
      </c>
      <c r="K32" s="88">
        <f>0.8*9.81*G32*J32/0.8</f>
        <v>1558.809</v>
      </c>
      <c r="L32" s="26" t="str">
        <f>IF($C$1="Русский","Кой-Таш","Koi-Tash")</f>
        <v>Кой-Таш</v>
      </c>
      <c r="M32" s="27" t="s">
        <v>53</v>
      </c>
      <c r="N32" s="38">
        <v>1</v>
      </c>
      <c r="O32" s="159" t="str">
        <f>IF($C$1="Русский","330 кВ возле первого створа","330 kV by the 1st alignment")</f>
        <v>330 кВ возле первого створа</v>
      </c>
      <c r="P32" s="107" t="str">
        <f>IF($C$1="Русский","существует","available")</f>
        <v>существует</v>
      </c>
      <c r="Q32" s="117" t="str">
        <f>IF($C$1="Русский","существует","available")</f>
        <v>существует</v>
      </c>
      <c r="R32" s="118"/>
      <c r="S32" s="101"/>
      <c r="T32" s="116" t="str">
        <f>IF($C$1="Русский","ГСМ, ГЭС в 13 км, распеделительная подстанция","Fuel and lubricants, hydroelectric power station at 13 km, distribution substation")</f>
        <v>ГСМ, ГЭС в 13 км, распеделительная подстанция</v>
      </c>
      <c r="U32" s="7"/>
      <c r="V32" s="2"/>
    </row>
    <row r="33" spans="1:22" ht="40.5" customHeight="1" x14ac:dyDescent="0.2">
      <c r="A33" s="6"/>
      <c r="B33" s="17">
        <v>21</v>
      </c>
      <c r="C33" s="43" t="str">
        <f>IF($C$1="Русский","Аламединская-2","Alamedinskaya-2")</f>
        <v>Аламединская-2</v>
      </c>
      <c r="D33" s="44" t="s">
        <v>54</v>
      </c>
      <c r="E33" s="45" t="s">
        <v>55</v>
      </c>
      <c r="F33" s="128"/>
      <c r="G33" s="130"/>
      <c r="H33" s="85"/>
      <c r="I33" s="184"/>
      <c r="J33" s="85"/>
      <c r="K33" s="91"/>
      <c r="L33" s="133" t="str">
        <f>IF($C$1="Русский","16 населённых пунктов","16 communities")</f>
        <v>16 населённых пунктов</v>
      </c>
      <c r="M33" s="163" t="s">
        <v>56</v>
      </c>
      <c r="N33" s="136" t="str">
        <f>IF($C$1="Русский","в радиусе 15 км","within a radius of 15 km")</f>
        <v>в радиусе 15 км</v>
      </c>
      <c r="O33" s="160"/>
      <c r="P33" s="127"/>
      <c r="Q33" s="125"/>
      <c r="R33" s="126"/>
      <c r="S33" s="127"/>
      <c r="T33" s="128"/>
      <c r="U33" s="7"/>
      <c r="V33" s="2"/>
    </row>
    <row r="34" spans="1:22" ht="46.5" customHeight="1" x14ac:dyDescent="0.2">
      <c r="A34" s="6"/>
      <c r="B34" s="17">
        <v>22</v>
      </c>
      <c r="C34" s="43" t="str">
        <f>IF($C$1="Русский","Аламединская-3","Alamedinskaya-3")</f>
        <v>Аламединская-3</v>
      </c>
      <c r="D34" s="44" t="s">
        <v>57</v>
      </c>
      <c r="E34" s="45" t="s">
        <v>58</v>
      </c>
      <c r="F34" s="104"/>
      <c r="G34" s="121"/>
      <c r="H34" s="78"/>
      <c r="I34" s="180"/>
      <c r="J34" s="78"/>
      <c r="K34" s="89"/>
      <c r="L34" s="106"/>
      <c r="M34" s="164"/>
      <c r="N34" s="102"/>
      <c r="O34" s="161"/>
      <c r="P34" s="102"/>
      <c r="Q34" s="106"/>
      <c r="R34" s="119"/>
      <c r="S34" s="102"/>
      <c r="T34" s="104"/>
      <c r="U34" s="7"/>
      <c r="V34" s="2"/>
    </row>
    <row r="35" spans="1:22" ht="15" customHeight="1" x14ac:dyDescent="0.2">
      <c r="A35" s="6"/>
      <c r="B35" s="240">
        <v>23</v>
      </c>
      <c r="C35" s="110" t="str">
        <f>IF($C$1="Русский","Ак-Суйская-1","Ak-Suiskaya-1")</f>
        <v>Ак-Суйская-1</v>
      </c>
      <c r="D35" s="112" t="s">
        <v>59</v>
      </c>
      <c r="E35" s="114" t="s">
        <v>60</v>
      </c>
      <c r="F35" s="116" t="str">
        <f>IF($C$1="Русский","(№240) р. Аксу-с.Чонарык","No 240 the Aksu river - the Chonaryk village")</f>
        <v>(№240) р. Аксу-с.Чонарык</v>
      </c>
      <c r="G35" s="120">
        <v>25</v>
      </c>
      <c r="H35" s="77">
        <v>1.35</v>
      </c>
      <c r="I35" s="179">
        <f>0.8*9.81*H35*G35/0.8</f>
        <v>331.08749999999998</v>
      </c>
      <c r="J35" s="77">
        <v>3.6</v>
      </c>
      <c r="K35" s="88">
        <f>0.8*9.81*G35*J35/0.8</f>
        <v>882.9</v>
      </c>
      <c r="L35" s="26" t="str">
        <f>IF($C$1="Русский","Капер-Арык","Kaper-Aryk")</f>
        <v>Капер-Арык</v>
      </c>
      <c r="M35" s="27" t="s">
        <v>61</v>
      </c>
      <c r="N35" s="46">
        <v>3</v>
      </c>
      <c r="O35" s="117" t="str">
        <f>IF($C$1="Русский","330 кВ, 110 кВ возле створа","330 kV, 110 kV by the alignment")</f>
        <v>330 кВ, 110 кВ возле створа</v>
      </c>
      <c r="P35" s="107" t="str">
        <f>IF($C$1="Русский","существует в 3 км от створа","available 3 km from the alignment")</f>
        <v>существует в 3 км от створа</v>
      </c>
      <c r="Q35" s="117" t="str">
        <f>IF($C$1="Русский","существует","available")</f>
        <v>существует</v>
      </c>
      <c r="R35" s="118"/>
      <c r="S35" s="101"/>
      <c r="T35" s="116" t="str">
        <f>IF($C$1="Русский","Электрическая посдстанция, дорожно-эксплуатационное управление","Electrical substation, road maintenance department")</f>
        <v>Электрическая посдстанция, дорожно-эксплуатационное управление</v>
      </c>
      <c r="U35" s="7"/>
      <c r="V35" s="2"/>
    </row>
    <row r="36" spans="1:22" ht="12.75" customHeight="1" x14ac:dyDescent="0.2">
      <c r="A36" s="6"/>
      <c r="B36" s="122"/>
      <c r="C36" s="122"/>
      <c r="D36" s="123"/>
      <c r="E36" s="124"/>
      <c r="F36" s="128"/>
      <c r="G36" s="130"/>
      <c r="H36" s="85"/>
      <c r="I36" s="184"/>
      <c r="J36" s="85"/>
      <c r="K36" s="91"/>
      <c r="L36" s="131" t="str">
        <f>IF($C$1="Русский","5 населённых пунктов","5 communities")</f>
        <v>5 населённых пунктов</v>
      </c>
      <c r="M36" s="137" t="s">
        <v>62</v>
      </c>
      <c r="N36" s="143" t="str">
        <f>IF($C$1="Русский","в радиусе 10 км","within a radius of 10 km")</f>
        <v>в радиусе 10 км</v>
      </c>
      <c r="O36" s="125"/>
      <c r="P36" s="127"/>
      <c r="Q36" s="125"/>
      <c r="R36" s="126"/>
      <c r="S36" s="127"/>
      <c r="T36" s="128"/>
      <c r="U36" s="7"/>
      <c r="V36" s="2"/>
    </row>
    <row r="37" spans="1:22" ht="12.75" customHeight="1" x14ac:dyDescent="0.2">
      <c r="A37" s="6"/>
      <c r="B37" s="122"/>
      <c r="C37" s="122"/>
      <c r="D37" s="123"/>
      <c r="E37" s="124"/>
      <c r="F37" s="128"/>
      <c r="G37" s="130"/>
      <c r="H37" s="85"/>
      <c r="I37" s="184"/>
      <c r="J37" s="85"/>
      <c r="K37" s="91"/>
      <c r="L37" s="130"/>
      <c r="M37" s="137"/>
      <c r="N37" s="124"/>
      <c r="O37" s="125"/>
      <c r="P37" s="127"/>
      <c r="Q37" s="125"/>
      <c r="R37" s="126"/>
      <c r="S37" s="127"/>
      <c r="T37" s="128"/>
      <c r="U37" s="7"/>
      <c r="V37" s="2"/>
    </row>
    <row r="38" spans="1:22" ht="17.25" customHeight="1" x14ac:dyDescent="0.2">
      <c r="A38" s="6"/>
      <c r="B38" s="111"/>
      <c r="C38" s="111"/>
      <c r="D38" s="113"/>
      <c r="E38" s="115"/>
      <c r="F38" s="128"/>
      <c r="G38" s="130"/>
      <c r="H38" s="85"/>
      <c r="I38" s="184"/>
      <c r="J38" s="85"/>
      <c r="K38" s="91"/>
      <c r="L38" s="130"/>
      <c r="M38" s="137"/>
      <c r="N38" s="124"/>
      <c r="O38" s="125"/>
      <c r="P38" s="127"/>
      <c r="Q38" s="125"/>
      <c r="R38" s="126"/>
      <c r="S38" s="127"/>
      <c r="T38" s="128"/>
      <c r="U38" s="7"/>
      <c r="V38" s="2"/>
    </row>
    <row r="39" spans="1:22" ht="12.75" customHeight="1" x14ac:dyDescent="0.2">
      <c r="A39" s="6"/>
      <c r="B39" s="240">
        <v>24</v>
      </c>
      <c r="C39" s="110" t="str">
        <f>IF($C$1="Русский","Ак-Суйская-2","Ak-Suiskaya-2")</f>
        <v>Ак-Суйская-2</v>
      </c>
      <c r="D39" s="112" t="s">
        <v>63</v>
      </c>
      <c r="E39" s="114" t="s">
        <v>64</v>
      </c>
      <c r="F39" s="128"/>
      <c r="G39" s="130"/>
      <c r="H39" s="85"/>
      <c r="I39" s="184"/>
      <c r="J39" s="85"/>
      <c r="K39" s="91"/>
      <c r="L39" s="130"/>
      <c r="M39" s="137"/>
      <c r="N39" s="124"/>
      <c r="O39" s="125"/>
      <c r="P39" s="127"/>
      <c r="Q39" s="125"/>
      <c r="R39" s="126"/>
      <c r="S39" s="127"/>
      <c r="T39" s="128"/>
      <c r="U39" s="7"/>
      <c r="V39" s="2"/>
    </row>
    <row r="40" spans="1:22" ht="12.75" customHeight="1" x14ac:dyDescent="0.2">
      <c r="A40" s="6"/>
      <c r="B40" s="122"/>
      <c r="C40" s="122"/>
      <c r="D40" s="123"/>
      <c r="E40" s="124"/>
      <c r="F40" s="128"/>
      <c r="G40" s="130"/>
      <c r="H40" s="85"/>
      <c r="I40" s="184"/>
      <c r="J40" s="85"/>
      <c r="K40" s="91"/>
      <c r="L40" s="130"/>
      <c r="M40" s="137"/>
      <c r="N40" s="124"/>
      <c r="O40" s="125"/>
      <c r="P40" s="127"/>
      <c r="Q40" s="125"/>
      <c r="R40" s="126"/>
      <c r="S40" s="127"/>
      <c r="T40" s="128"/>
      <c r="U40" s="7"/>
      <c r="V40" s="2"/>
    </row>
    <row r="41" spans="1:22" ht="12.75" customHeight="1" x14ac:dyDescent="0.2">
      <c r="A41" s="6"/>
      <c r="B41" s="122"/>
      <c r="C41" s="122"/>
      <c r="D41" s="123"/>
      <c r="E41" s="124"/>
      <c r="F41" s="128"/>
      <c r="G41" s="130"/>
      <c r="H41" s="85"/>
      <c r="I41" s="184"/>
      <c r="J41" s="85"/>
      <c r="K41" s="91"/>
      <c r="L41" s="130"/>
      <c r="M41" s="137"/>
      <c r="N41" s="124"/>
      <c r="O41" s="125"/>
      <c r="P41" s="127"/>
      <c r="Q41" s="125"/>
      <c r="R41" s="126"/>
      <c r="S41" s="127"/>
      <c r="T41" s="128"/>
      <c r="U41" s="7"/>
      <c r="V41" s="2"/>
    </row>
    <row r="42" spans="1:22" ht="15.75" customHeight="1" x14ac:dyDescent="0.2">
      <c r="A42" s="6"/>
      <c r="B42" s="122"/>
      <c r="C42" s="122"/>
      <c r="D42" s="123"/>
      <c r="E42" s="124"/>
      <c r="F42" s="128"/>
      <c r="G42" s="130"/>
      <c r="H42" s="85"/>
      <c r="I42" s="184"/>
      <c r="J42" s="85"/>
      <c r="K42" s="91"/>
      <c r="L42" s="130"/>
      <c r="M42" s="137"/>
      <c r="N42" s="124"/>
      <c r="O42" s="125"/>
      <c r="P42" s="127"/>
      <c r="Q42" s="125"/>
      <c r="R42" s="126"/>
      <c r="S42" s="127"/>
      <c r="T42" s="128"/>
      <c r="U42" s="7"/>
      <c r="V42" s="2"/>
    </row>
    <row r="43" spans="1:22" ht="21.75" customHeight="1" x14ac:dyDescent="0.2">
      <c r="A43" s="6"/>
      <c r="B43" s="111"/>
      <c r="C43" s="111"/>
      <c r="D43" s="113"/>
      <c r="E43" s="115"/>
      <c r="F43" s="104"/>
      <c r="G43" s="121"/>
      <c r="H43" s="78"/>
      <c r="I43" s="180"/>
      <c r="J43" s="78"/>
      <c r="K43" s="89"/>
      <c r="L43" s="121"/>
      <c r="M43" s="138"/>
      <c r="N43" s="115"/>
      <c r="O43" s="106"/>
      <c r="P43" s="102"/>
      <c r="Q43" s="106"/>
      <c r="R43" s="119"/>
      <c r="S43" s="102"/>
      <c r="T43" s="104"/>
      <c r="U43" s="7"/>
      <c r="V43" s="2"/>
    </row>
    <row r="44" spans="1:22" ht="17.25" customHeight="1" x14ac:dyDescent="0.2">
      <c r="A44" s="6"/>
      <c r="B44" s="240">
        <v>25</v>
      </c>
      <c r="C44" s="110" t="str">
        <f>IF($C$1="Русский","Суусамырская","Suusamyrskaya")</f>
        <v>Суусамырская</v>
      </c>
      <c r="D44" s="195" t="s">
        <v>65</v>
      </c>
      <c r="E44" s="107" t="s">
        <v>66</v>
      </c>
      <c r="F44" s="116" t="str">
        <f>IF($C$1="Русский","(№30) р. Каракол (р. Суусамыр)-Устье","No 30 the Karakol (Suusamyr) river - the mouth")</f>
        <v>(№30) р. Каракол (р. Суусамыр)-Устье</v>
      </c>
      <c r="G44" s="120">
        <v>5</v>
      </c>
      <c r="H44" s="77">
        <v>8.7100000000000009</v>
      </c>
      <c r="I44" s="179">
        <f>0.8*9.81*H44*G44/0.8</f>
        <v>427.22550000000012</v>
      </c>
      <c r="J44" s="77">
        <v>25.8</v>
      </c>
      <c r="K44" s="88">
        <f>0.8*9.81*G44*J44/0.8</f>
        <v>1265.49</v>
      </c>
      <c r="L44" s="26" t="str">
        <f>IF($C$1="Русский","Суусамыр","Suusamyr")</f>
        <v>Суусамыр</v>
      </c>
      <c r="M44" s="27" t="s">
        <v>67</v>
      </c>
      <c r="N44" s="38">
        <v>11</v>
      </c>
      <c r="O44" s="151" t="str">
        <f>IF($C$1="Русский","150 кВ в 11 км от створа","150 kV 11 km from the alignment")</f>
        <v>150 кВ в 11 км от створа</v>
      </c>
      <c r="P44" s="114" t="str">
        <f>IF($C$1="Русский","существует","available")</f>
        <v>существует</v>
      </c>
      <c r="Q44" s="117" t="str">
        <f>IF($C$1="Русский","существует","available")</f>
        <v>существует</v>
      </c>
      <c r="R44" s="118"/>
      <c r="S44" s="101"/>
      <c r="T44" s="116" t="str">
        <f>IF($C$1="Русский","дорожно-эксплуатационное управление, распред. подст.","Road maintenance department, distr S/S")</f>
        <v>дорожно-эксплуатационное управление, распред. подст.</v>
      </c>
      <c r="U44" s="7"/>
      <c r="V44" s="2"/>
    </row>
    <row r="45" spans="1:22" ht="42" customHeight="1" x14ac:dyDescent="0.2">
      <c r="A45" s="6"/>
      <c r="B45" s="111"/>
      <c r="C45" s="111"/>
      <c r="D45" s="196"/>
      <c r="E45" s="102"/>
      <c r="F45" s="104"/>
      <c r="G45" s="121"/>
      <c r="H45" s="78"/>
      <c r="I45" s="180"/>
      <c r="J45" s="78"/>
      <c r="K45" s="89"/>
      <c r="L45" s="8" t="str">
        <f>IF($C$1="Русский","Первое Мая, Уч-Чымчык","Pervoe maya, Uch-Chymchyk")</f>
        <v>Первое Мая, Уч-Чымчык</v>
      </c>
      <c r="M45" s="36" t="s">
        <v>68</v>
      </c>
      <c r="N45" s="9" t="str">
        <f>IF($C$1="Русский","в радиусе 10 км","within a radius of 10 km")</f>
        <v>в радиусе 10 км</v>
      </c>
      <c r="O45" s="130"/>
      <c r="P45" s="124"/>
      <c r="Q45" s="125"/>
      <c r="R45" s="126"/>
      <c r="S45" s="127"/>
      <c r="T45" s="128"/>
      <c r="U45" s="7"/>
      <c r="V45" s="2"/>
    </row>
    <row r="46" spans="1:22" ht="17.25" customHeight="1" x14ac:dyDescent="0.2">
      <c r="A46" s="6"/>
      <c r="B46" s="240">
        <v>26</v>
      </c>
      <c r="C46" s="110" t="str">
        <f>IF($C$1="Русский","Каракольская","Karakolskaya")</f>
        <v>Каракольская</v>
      </c>
      <c r="D46" s="195" t="s">
        <v>69</v>
      </c>
      <c r="E46" s="107" t="s">
        <v>70</v>
      </c>
      <c r="F46" s="116" t="str">
        <f>IF($C$1="Русский","(№27) р.Кёкёмерен (р. Зап. Каракол)-В 6км выше устья р.Каракол","No 27 the Kokomeren (zapadnyi Karakol) river - in 6 km from the mouth of Karakol river")</f>
        <v>(№27) р.Кёкёмерен (р. Зап. Каракол)-В 6км выше устья р.Каракол</v>
      </c>
      <c r="G46" s="120">
        <v>8</v>
      </c>
      <c r="H46" s="77">
        <v>5.66</v>
      </c>
      <c r="I46" s="179">
        <f>0.8*9.81*H46*G46/0.8</f>
        <v>444.19680000000005</v>
      </c>
      <c r="J46" s="77">
        <v>14.7</v>
      </c>
      <c r="K46" s="88">
        <f>0.8*9.81*G46*J46/0.8</f>
        <v>1153.6559999999999</v>
      </c>
      <c r="L46" s="26" t="str">
        <f>IF($C$1="Русский","Суусамыр","Suusamyr")</f>
        <v>Суусамыр</v>
      </c>
      <c r="M46" s="27" t="s">
        <v>67</v>
      </c>
      <c r="N46" s="38">
        <v>8</v>
      </c>
      <c r="O46" s="131" t="str">
        <f>IF($C$1="Русский","150 кВ в 8 км от створа","150 kV 8 km from the alignment")</f>
        <v>150 кВ в 8 км от створа</v>
      </c>
      <c r="P46" s="124"/>
      <c r="Q46" s="125"/>
      <c r="R46" s="126"/>
      <c r="S46" s="127"/>
      <c r="T46" s="128"/>
      <c r="U46" s="7"/>
      <c r="V46" s="2"/>
    </row>
    <row r="47" spans="1:22" ht="96" customHeight="1" x14ac:dyDescent="0.2">
      <c r="A47" s="6"/>
      <c r="B47" s="111"/>
      <c r="C47" s="111"/>
      <c r="D47" s="196"/>
      <c r="E47" s="102"/>
      <c r="F47" s="104"/>
      <c r="G47" s="121"/>
      <c r="H47" s="78"/>
      <c r="I47" s="180"/>
      <c r="J47" s="78"/>
      <c r="K47" s="89"/>
      <c r="L47" s="8" t="str">
        <f>IF($C$1="Русский","Тунук, Кайсар","Tunuk, Kaisar")</f>
        <v>Тунук, Кайсар</v>
      </c>
      <c r="M47" s="36" t="s">
        <v>71</v>
      </c>
      <c r="N47" s="9" t="str">
        <f>IF($C$1="Русский","в радиусе 10 км","within a radius of 10 km")</f>
        <v>в радиусе 10 км</v>
      </c>
      <c r="O47" s="121"/>
      <c r="P47" s="115"/>
      <c r="Q47" s="106"/>
      <c r="R47" s="119"/>
      <c r="S47" s="102"/>
      <c r="T47" s="104"/>
      <c r="U47" s="7"/>
      <c r="V47" s="47">
        <f>9.81*8*5.66/100</f>
        <v>4.4419680000000001</v>
      </c>
    </row>
    <row r="48" spans="1:22" ht="29.25" customHeight="1" x14ac:dyDescent="0.2">
      <c r="A48" s="6"/>
      <c r="B48" s="252" t="str">
        <f>IF($C$1="Русский","Иссык-Кульская область","Issyk-kul region")</f>
        <v>Иссык-Кульская область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4"/>
      <c r="U48" s="7"/>
      <c r="V48" s="2"/>
    </row>
    <row r="49" spans="1:22" ht="28.5" customHeight="1" x14ac:dyDescent="0.2">
      <c r="A49" s="6"/>
      <c r="B49" s="240">
        <v>27</v>
      </c>
      <c r="C49" s="110" t="str">
        <f>IF($C$1="Русский","Тюпская-1","Tyupskaya-1")</f>
        <v>Тюпская-1</v>
      </c>
      <c r="D49" s="112" t="s">
        <v>72</v>
      </c>
      <c r="E49" s="114" t="s">
        <v>73</v>
      </c>
      <c r="F49" s="116" t="str">
        <f>IF($C$1="Русский","(№106) р. Тюп - с. Сарытологой","No 106 the Tyup river - the Sarytologoq village")</f>
        <v>(№106) р. Тюп - с. Сарытологой</v>
      </c>
      <c r="G49" s="120">
        <v>14</v>
      </c>
      <c r="H49" s="77">
        <v>1.91</v>
      </c>
      <c r="I49" s="108">
        <f>0.8*9.81*H49*G49/0.8</f>
        <v>262.31939999999997</v>
      </c>
      <c r="J49" s="77">
        <v>5.43</v>
      </c>
      <c r="K49" s="92">
        <f>0.8*9.81*G49*J49/0.8</f>
        <v>745.75619999999992</v>
      </c>
      <c r="L49" s="117" t="str">
        <f>IF($C$1="Русский","Сарытологой","Sarytologoi")</f>
        <v>Сарытологой</v>
      </c>
      <c r="M49" s="168" t="s">
        <v>74</v>
      </c>
      <c r="N49" s="171" t="str">
        <f>IF($C$1="Русский","0 км от ближнего створа; 2 км от дальнего створа","0 km from the nearest alignment; 2 km from the far alignment)")</f>
        <v>0 км от ближнего створа; 2 км от дальнего створа</v>
      </c>
      <c r="O49" s="105"/>
      <c r="P49" s="107" t="str">
        <f>IF($C$1="Русский","существует","available")</f>
        <v>существует</v>
      </c>
      <c r="Q49" s="117" t="str">
        <f>IF($C$1="Русский","существует","available")</f>
        <v>существует</v>
      </c>
      <c r="R49" s="118"/>
      <c r="S49" s="101"/>
      <c r="T49" s="116" t="str">
        <f>IF($C$1="Русский","Электрическая подстанция","Electrical substation")</f>
        <v>Электрическая подстанция</v>
      </c>
      <c r="U49" s="7"/>
      <c r="V49" s="2"/>
    </row>
    <row r="50" spans="1:22" ht="39" customHeight="1" x14ac:dyDescent="0.2">
      <c r="A50" s="6"/>
      <c r="B50" s="111"/>
      <c r="C50" s="111"/>
      <c r="D50" s="113"/>
      <c r="E50" s="115"/>
      <c r="F50" s="128"/>
      <c r="G50" s="130"/>
      <c r="H50" s="85"/>
      <c r="I50" s="132"/>
      <c r="J50" s="85"/>
      <c r="K50" s="93"/>
      <c r="L50" s="125"/>
      <c r="M50" s="177"/>
      <c r="N50" s="172"/>
      <c r="O50" s="125"/>
      <c r="P50" s="127"/>
      <c r="Q50" s="125"/>
      <c r="R50" s="126"/>
      <c r="S50" s="127"/>
      <c r="T50" s="128"/>
      <c r="U50" s="7"/>
      <c r="V50" s="2"/>
    </row>
    <row r="51" spans="1:22" ht="12.75" customHeight="1" x14ac:dyDescent="0.2">
      <c r="A51" s="6"/>
      <c r="B51" s="240">
        <v>28</v>
      </c>
      <c r="C51" s="110" t="str">
        <f>IF($C$1="Русский","Тюпская-2","Tyupskaya-2")</f>
        <v>Тюпская-2</v>
      </c>
      <c r="D51" s="112" t="s">
        <v>75</v>
      </c>
      <c r="E51" s="114" t="s">
        <v>76</v>
      </c>
      <c r="F51" s="128"/>
      <c r="G51" s="130"/>
      <c r="H51" s="85"/>
      <c r="I51" s="132"/>
      <c r="J51" s="85"/>
      <c r="K51" s="93"/>
      <c r="L51" s="125"/>
      <c r="M51" s="177"/>
      <c r="N51" s="172"/>
      <c r="O51" s="125"/>
      <c r="P51" s="127"/>
      <c r="Q51" s="125"/>
      <c r="R51" s="126"/>
      <c r="S51" s="127"/>
      <c r="T51" s="128"/>
      <c r="U51" s="7"/>
      <c r="V51" s="2"/>
    </row>
    <row r="52" spans="1:22" ht="12.75" customHeight="1" x14ac:dyDescent="0.2">
      <c r="A52" s="6"/>
      <c r="B52" s="122"/>
      <c r="C52" s="122"/>
      <c r="D52" s="123"/>
      <c r="E52" s="124"/>
      <c r="F52" s="128"/>
      <c r="G52" s="130"/>
      <c r="H52" s="85"/>
      <c r="I52" s="132"/>
      <c r="J52" s="85"/>
      <c r="K52" s="93"/>
      <c r="L52" s="167"/>
      <c r="M52" s="169"/>
      <c r="N52" s="256"/>
      <c r="O52" s="125"/>
      <c r="P52" s="127"/>
      <c r="Q52" s="125"/>
      <c r="R52" s="126"/>
      <c r="S52" s="127"/>
      <c r="T52" s="128"/>
      <c r="U52" s="7"/>
      <c r="V52" s="2"/>
    </row>
    <row r="53" spans="1:22" ht="12.75" customHeight="1" x14ac:dyDescent="0.2">
      <c r="A53" s="6"/>
      <c r="B53" s="122"/>
      <c r="C53" s="122"/>
      <c r="D53" s="123"/>
      <c r="E53" s="124"/>
      <c r="F53" s="128"/>
      <c r="G53" s="130"/>
      <c r="H53" s="85"/>
      <c r="I53" s="132"/>
      <c r="J53" s="85"/>
      <c r="K53" s="93"/>
      <c r="L53" s="133" t="str">
        <f>IF($C$1="Русский","13 посёлков","13 villages")</f>
        <v>13 посёлков</v>
      </c>
      <c r="M53" s="134" t="s">
        <v>77</v>
      </c>
      <c r="N53" s="136" t="str">
        <f>IF($C$1="Русский","в радиусе 20 км","within a radius of 20 km")</f>
        <v>в радиусе 20 км</v>
      </c>
      <c r="O53" s="125"/>
      <c r="P53" s="127"/>
      <c r="Q53" s="125"/>
      <c r="R53" s="126"/>
      <c r="S53" s="127"/>
      <c r="T53" s="128"/>
      <c r="U53" s="7"/>
      <c r="V53" s="2"/>
    </row>
    <row r="54" spans="1:22" ht="15.75" customHeight="1" x14ac:dyDescent="0.2">
      <c r="A54" s="6"/>
      <c r="B54" s="122"/>
      <c r="C54" s="122"/>
      <c r="D54" s="123"/>
      <c r="E54" s="124"/>
      <c r="F54" s="128"/>
      <c r="G54" s="130"/>
      <c r="H54" s="85"/>
      <c r="I54" s="132"/>
      <c r="J54" s="85"/>
      <c r="K54" s="93"/>
      <c r="L54" s="125"/>
      <c r="M54" s="176"/>
      <c r="N54" s="127"/>
      <c r="O54" s="125"/>
      <c r="P54" s="127"/>
      <c r="Q54" s="125"/>
      <c r="R54" s="126"/>
      <c r="S54" s="127"/>
      <c r="T54" s="128"/>
      <c r="U54" s="7"/>
      <c r="V54" s="2"/>
    </row>
    <row r="55" spans="1:22" ht="21.75" customHeight="1" x14ac:dyDescent="0.2">
      <c r="A55" s="6"/>
      <c r="B55" s="111"/>
      <c r="C55" s="111"/>
      <c r="D55" s="113"/>
      <c r="E55" s="115"/>
      <c r="F55" s="104"/>
      <c r="G55" s="121"/>
      <c r="H55" s="78"/>
      <c r="I55" s="109"/>
      <c r="J55" s="78"/>
      <c r="K55" s="94"/>
      <c r="L55" s="106"/>
      <c r="M55" s="135"/>
      <c r="N55" s="102"/>
      <c r="O55" s="106"/>
      <c r="P55" s="102"/>
      <c r="Q55" s="106"/>
      <c r="R55" s="119"/>
      <c r="S55" s="102"/>
      <c r="T55" s="104"/>
      <c r="U55" s="7"/>
      <c r="V55" s="2"/>
    </row>
    <row r="56" spans="1:22" ht="75" customHeight="1" x14ac:dyDescent="0.2">
      <c r="A56" s="6"/>
      <c r="B56" s="240">
        <v>29</v>
      </c>
      <c r="C56" s="110" t="str">
        <f>IF($C$1="Русский","Тургенаксуйская-1","Turgenaksuiskaya-1")</f>
        <v>Тургенаксуйская-1</v>
      </c>
      <c r="D56" s="112" t="s">
        <v>78</v>
      </c>
      <c r="E56" s="114" t="s">
        <v>79</v>
      </c>
      <c r="F56" s="116" t="str">
        <f>IF($C$1="Русский","(№119) р. Тургеньаксу-пос.лесозавода","No 119 the Turgenaksu river - wooden plant village")</f>
        <v>(№119) р. Тургеньаксу-пос.лесозавода</v>
      </c>
      <c r="G56" s="120">
        <v>25</v>
      </c>
      <c r="H56" s="77">
        <v>1.64</v>
      </c>
      <c r="I56" s="108">
        <f>0.8*9.81*H56*G56/0.8</f>
        <v>402.21000000000004</v>
      </c>
      <c r="J56" s="77">
        <v>4.79</v>
      </c>
      <c r="K56" s="92">
        <f>0.8*9.81*G56*J56/0.8</f>
        <v>1174.7475000000002</v>
      </c>
      <c r="L56" s="26" t="str">
        <f>IF($C$1="Русский","Акбулун","Akbulun")</f>
        <v>Акбулун</v>
      </c>
      <c r="M56" s="27" t="s">
        <v>80</v>
      </c>
      <c r="N56" s="28" t="str">
        <f>IF($C$1="Русский","3 км от ближнего створа; 5,5 км от дальнего створа","3 km from the nearest alignment; 5,5 km from the far alignment)")</f>
        <v>3 км от ближнего створа; 5,5 км от дальнего створа</v>
      </c>
      <c r="O56" s="117" t="str">
        <f>IF($C$1="Русский","существует в 4 км от ближайшего створа","available 4 km from the nearest alignment")</f>
        <v>существует в 4 км от ближайшего створа</v>
      </c>
      <c r="P56" s="107" t="str">
        <f>IF($C$1="Русский","существует","available")</f>
        <v>существует</v>
      </c>
      <c r="Q56" s="117" t="str">
        <f>IF($C$1="Русский","существует","available")</f>
        <v>существует</v>
      </c>
      <c r="R56" s="118"/>
      <c r="S56" s="101"/>
      <c r="T56" s="116" t="str">
        <f>IF($C$1="Русский","Электрическая подстанция","Electrical substation")</f>
        <v>Электрическая подстанция</v>
      </c>
      <c r="U56" s="7"/>
      <c r="V56" s="2"/>
    </row>
    <row r="57" spans="1:22" ht="8.1" customHeight="1" x14ac:dyDescent="0.2">
      <c r="A57" s="6"/>
      <c r="B57" s="111"/>
      <c r="C57" s="111"/>
      <c r="D57" s="113"/>
      <c r="E57" s="115"/>
      <c r="F57" s="128"/>
      <c r="G57" s="130"/>
      <c r="H57" s="85"/>
      <c r="I57" s="132"/>
      <c r="J57" s="85"/>
      <c r="K57" s="93"/>
      <c r="L57" s="131" t="str">
        <f>IF($C$1="Русский","7 посёлков","7 villages")</f>
        <v>7 посёлков</v>
      </c>
      <c r="M57" s="137" t="s">
        <v>81</v>
      </c>
      <c r="N57" s="143" t="str">
        <f>IF($C$1="Русский","в радиусе 10 км","within a radius of 10 km")</f>
        <v>в радиусе 10 км</v>
      </c>
      <c r="O57" s="125"/>
      <c r="P57" s="127"/>
      <c r="Q57" s="125"/>
      <c r="R57" s="126"/>
      <c r="S57" s="127"/>
      <c r="T57" s="128"/>
      <c r="U57" s="7"/>
      <c r="V57" s="2"/>
    </row>
    <row r="58" spans="1:22" ht="12.75" customHeight="1" x14ac:dyDescent="0.2">
      <c r="A58" s="6"/>
      <c r="B58" s="240">
        <v>30</v>
      </c>
      <c r="C58" s="110" t="str">
        <f>IF($C$1="Русский","Тургенаксуйская-2","Turgenaksuiskaya-2")</f>
        <v>Тургенаксуйская-2</v>
      </c>
      <c r="D58" s="112" t="s">
        <v>82</v>
      </c>
      <c r="E58" s="114" t="s">
        <v>83</v>
      </c>
      <c r="F58" s="128"/>
      <c r="G58" s="130"/>
      <c r="H58" s="85"/>
      <c r="I58" s="132"/>
      <c r="J58" s="85"/>
      <c r="K58" s="93"/>
      <c r="L58" s="130"/>
      <c r="M58" s="137"/>
      <c r="N58" s="124"/>
      <c r="O58" s="125"/>
      <c r="P58" s="127"/>
      <c r="Q58" s="125"/>
      <c r="R58" s="126"/>
      <c r="S58" s="127"/>
      <c r="T58" s="128"/>
      <c r="U58" s="7"/>
      <c r="V58" s="2"/>
    </row>
    <row r="59" spans="1:22" ht="12.75" customHeight="1" x14ac:dyDescent="0.2">
      <c r="A59" s="6"/>
      <c r="B59" s="122"/>
      <c r="C59" s="122"/>
      <c r="D59" s="123"/>
      <c r="E59" s="124"/>
      <c r="F59" s="128"/>
      <c r="G59" s="130"/>
      <c r="H59" s="85"/>
      <c r="I59" s="132"/>
      <c r="J59" s="85"/>
      <c r="K59" s="93"/>
      <c r="L59" s="130"/>
      <c r="M59" s="137"/>
      <c r="N59" s="124"/>
      <c r="O59" s="125"/>
      <c r="P59" s="127"/>
      <c r="Q59" s="125"/>
      <c r="R59" s="126"/>
      <c r="S59" s="127"/>
      <c r="T59" s="128"/>
      <c r="U59" s="7"/>
      <c r="V59" s="2"/>
    </row>
    <row r="60" spans="1:22" ht="12.75" customHeight="1" x14ac:dyDescent="0.2">
      <c r="A60" s="6"/>
      <c r="B60" s="122"/>
      <c r="C60" s="122"/>
      <c r="D60" s="123"/>
      <c r="E60" s="124"/>
      <c r="F60" s="128"/>
      <c r="G60" s="130"/>
      <c r="H60" s="85"/>
      <c r="I60" s="132"/>
      <c r="J60" s="85"/>
      <c r="K60" s="93"/>
      <c r="L60" s="130"/>
      <c r="M60" s="137"/>
      <c r="N60" s="124"/>
      <c r="O60" s="125"/>
      <c r="P60" s="127"/>
      <c r="Q60" s="125"/>
      <c r="R60" s="126"/>
      <c r="S60" s="127"/>
      <c r="T60" s="128"/>
      <c r="U60" s="7"/>
      <c r="V60" s="2"/>
    </row>
    <row r="61" spans="1:22" ht="15.75" customHeight="1" x14ac:dyDescent="0.2">
      <c r="A61" s="6"/>
      <c r="B61" s="122"/>
      <c r="C61" s="122"/>
      <c r="D61" s="123"/>
      <c r="E61" s="124"/>
      <c r="F61" s="128"/>
      <c r="G61" s="130"/>
      <c r="H61" s="85"/>
      <c r="I61" s="132"/>
      <c r="J61" s="85"/>
      <c r="K61" s="93"/>
      <c r="L61" s="130"/>
      <c r="M61" s="137"/>
      <c r="N61" s="124"/>
      <c r="O61" s="125"/>
      <c r="P61" s="127"/>
      <c r="Q61" s="125"/>
      <c r="R61" s="126"/>
      <c r="S61" s="127"/>
      <c r="T61" s="128"/>
      <c r="U61" s="7"/>
      <c r="V61" s="2"/>
    </row>
    <row r="62" spans="1:22" ht="21.75" customHeight="1" x14ac:dyDescent="0.2">
      <c r="A62" s="6"/>
      <c r="B62" s="111"/>
      <c r="C62" s="111"/>
      <c r="D62" s="113"/>
      <c r="E62" s="115"/>
      <c r="F62" s="104"/>
      <c r="G62" s="121"/>
      <c r="H62" s="78"/>
      <c r="I62" s="109"/>
      <c r="J62" s="78"/>
      <c r="K62" s="94"/>
      <c r="L62" s="121"/>
      <c r="M62" s="138"/>
      <c r="N62" s="115"/>
      <c r="O62" s="106"/>
      <c r="P62" s="102"/>
      <c r="Q62" s="106"/>
      <c r="R62" s="119"/>
      <c r="S62" s="102"/>
      <c r="T62" s="104"/>
      <c r="U62" s="7"/>
      <c r="V62" s="2"/>
    </row>
    <row r="63" spans="1:22" ht="15" customHeight="1" x14ac:dyDescent="0.2">
      <c r="A63" s="6"/>
      <c r="B63" s="250">
        <v>31</v>
      </c>
      <c r="C63" s="116" t="str">
        <f>IF($C$1="Русский","Джеты-Огузская","Jeti-Oguzskaya")</f>
        <v>Джеты-Огузская</v>
      </c>
      <c r="D63" s="112" t="s">
        <v>84</v>
      </c>
      <c r="E63" s="114" t="s">
        <v>85</v>
      </c>
      <c r="F63" s="116" t="str">
        <f>IF($C$1="Русский","(№131 р.Жетыогуз-пос.лесозавода)","No 131 the Jetioguz river - woodenplant village")</f>
        <v>(№131 р.Жетыогуз-пос.лесозавода)</v>
      </c>
      <c r="G63" s="120">
        <v>25</v>
      </c>
      <c r="H63" s="90" t="s">
        <v>86</v>
      </c>
      <c r="I63" s="108">
        <f>0.8*9.81*H63*G63/0.8</f>
        <v>309.01500000000004</v>
      </c>
      <c r="J63" s="90" t="s">
        <v>87</v>
      </c>
      <c r="K63" s="92">
        <f>0.8*9.81*G63*J63/0.8</f>
        <v>983.45249999999999</v>
      </c>
      <c r="L63" s="26" t="str">
        <f>IF($C$1="Русский","Джеты-Огуз","Djety-Oguz")</f>
        <v>Джеты-Огуз</v>
      </c>
      <c r="M63" s="27" t="s">
        <v>88</v>
      </c>
      <c r="N63" s="38">
        <v>3.5</v>
      </c>
      <c r="O63" s="117" t="str">
        <f>IF($C$1="Русский","существует","available")</f>
        <v>существует</v>
      </c>
      <c r="P63" s="174"/>
      <c r="Q63" s="117" t="str">
        <f>IF($C$1="Русский","существует","available")</f>
        <v>существует</v>
      </c>
      <c r="R63" s="152"/>
      <c r="S63" s="101"/>
      <c r="T63" s="116" t="str">
        <f>IF($C$1="Русский","'электрическая станция, электрическая подстанция","electrical station, electrical substation")</f>
        <v>'электрическая станция, электрическая подстанция</v>
      </c>
      <c r="U63" s="7"/>
      <c r="V63" s="2"/>
    </row>
    <row r="64" spans="1:22" ht="15" customHeight="1" x14ac:dyDescent="0.2">
      <c r="A64" s="6"/>
      <c r="B64" s="122"/>
      <c r="C64" s="122"/>
      <c r="D64" s="123"/>
      <c r="E64" s="124"/>
      <c r="F64" s="128"/>
      <c r="G64" s="130"/>
      <c r="H64" s="86"/>
      <c r="I64" s="132"/>
      <c r="J64" s="86"/>
      <c r="K64" s="93"/>
      <c r="L64" s="33" t="str">
        <f>IF($C$1="Русский","Ак-Кочкор","Ak-Kochkor")</f>
        <v>Ак-Кочкор</v>
      </c>
      <c r="M64" s="39" t="s">
        <v>89</v>
      </c>
      <c r="N64" s="48">
        <v>3.5</v>
      </c>
      <c r="O64" s="125"/>
      <c r="P64" s="175"/>
      <c r="Q64" s="125"/>
      <c r="R64" s="153"/>
      <c r="S64" s="127"/>
      <c r="T64" s="128"/>
      <c r="U64" s="7"/>
      <c r="V64" s="2"/>
    </row>
    <row r="65" spans="1:22" ht="15" customHeight="1" x14ac:dyDescent="0.2">
      <c r="A65" s="6"/>
      <c r="B65" s="122"/>
      <c r="C65" s="122"/>
      <c r="D65" s="123"/>
      <c r="E65" s="124"/>
      <c r="F65" s="128"/>
      <c r="G65" s="130"/>
      <c r="H65" s="86"/>
      <c r="I65" s="132"/>
      <c r="J65" s="86"/>
      <c r="K65" s="93"/>
      <c r="L65" s="33" t="str">
        <f>IF($C$1="Русский","Желетобе","Jeletobe")</f>
        <v>Желетобе</v>
      </c>
      <c r="M65" s="39" t="s">
        <v>90</v>
      </c>
      <c r="N65" s="48">
        <v>6.5</v>
      </c>
      <c r="O65" s="125"/>
      <c r="P65" s="175"/>
      <c r="Q65" s="125"/>
      <c r="R65" s="153"/>
      <c r="S65" s="127"/>
      <c r="T65" s="128"/>
      <c r="U65" s="7"/>
      <c r="V65" s="2"/>
    </row>
    <row r="66" spans="1:22" ht="21.75" customHeight="1" x14ac:dyDescent="0.2">
      <c r="A66" s="6"/>
      <c r="B66" s="111"/>
      <c r="C66" s="111"/>
      <c r="D66" s="113"/>
      <c r="E66" s="115"/>
      <c r="F66" s="104"/>
      <c r="G66" s="130"/>
      <c r="H66" s="86"/>
      <c r="I66" s="132"/>
      <c r="J66" s="86"/>
      <c r="K66" s="93"/>
      <c r="L66" s="8" t="str">
        <f>IF($C$1="Русский","Кызыл-Туу","Kyzyl-Tuu")</f>
        <v>Кызыл-Туу</v>
      </c>
      <c r="M66" s="11" t="s">
        <v>91</v>
      </c>
      <c r="N66" s="49">
        <v>6.5</v>
      </c>
      <c r="O66" s="106"/>
      <c r="P66" s="158"/>
      <c r="Q66" s="106"/>
      <c r="R66" s="154"/>
      <c r="S66" s="102"/>
      <c r="T66" s="104"/>
      <c r="U66" s="7"/>
      <c r="V66" s="2"/>
    </row>
    <row r="67" spans="1:22" ht="15" customHeight="1" x14ac:dyDescent="0.2">
      <c r="A67" s="6"/>
      <c r="B67" s="240">
        <v>32</v>
      </c>
      <c r="C67" s="110" t="str">
        <f>IF($C$1="Русский","Ак-Сайская","Ak-Saiskaya")</f>
        <v>Ак-Сайская</v>
      </c>
      <c r="D67" s="112" t="s">
        <v>92</v>
      </c>
      <c r="E67" s="114" t="s">
        <v>93</v>
      </c>
      <c r="F67" s="116" t="str">
        <f>IF($C$1="Русский","(№149) р.Аксай-с.Коксай","No 149 the Aksai river - the Koksai village")</f>
        <v>(№149) р.Аксай-с.Коксай</v>
      </c>
      <c r="G67" s="148">
        <v>35</v>
      </c>
      <c r="H67" s="86" t="s">
        <v>94</v>
      </c>
      <c r="I67" s="132">
        <f>0.8*9.81*H67*G67/0.8</f>
        <v>439.48800000000006</v>
      </c>
      <c r="J67" s="86" t="s">
        <v>95</v>
      </c>
      <c r="K67" s="93">
        <f>0.8*9.81*G67*J67/0.8</f>
        <v>587.12850000000003</v>
      </c>
      <c r="L67" s="26" t="str">
        <f>IF($C$1="Русский","свх. Аксай","temporary storage Aksai")</f>
        <v>свх. Аксай</v>
      </c>
      <c r="M67" s="27" t="s">
        <v>96</v>
      </c>
      <c r="N67" s="38">
        <v>1</v>
      </c>
      <c r="O67" s="117" t="str">
        <f>IF($C$1="Русский","существует в 6 км от створа","available 6 km from the alignment")</f>
        <v>существует в 6 км от створа</v>
      </c>
      <c r="P67" s="171" t="str">
        <f>IF($C$1="Русский","существует","available")</f>
        <v>существует</v>
      </c>
      <c r="Q67" s="117" t="str">
        <f>IF($C$1="Русский","существует в  2 км от створа","available 2 km from the alignment")</f>
        <v>существует в  2 км от створа</v>
      </c>
      <c r="R67" s="152"/>
      <c r="S67" s="107" t="str">
        <f>IF($C$1="Русский","существует","available")</f>
        <v>существует</v>
      </c>
      <c r="T67" s="103"/>
      <c r="U67" s="7"/>
      <c r="V67" s="2"/>
    </row>
    <row r="68" spans="1:22" ht="15" customHeight="1" x14ac:dyDescent="0.2">
      <c r="A68" s="6"/>
      <c r="B68" s="122"/>
      <c r="C68" s="122"/>
      <c r="D68" s="123"/>
      <c r="E68" s="124"/>
      <c r="F68" s="128"/>
      <c r="G68" s="130"/>
      <c r="H68" s="86"/>
      <c r="I68" s="132"/>
      <c r="J68" s="86"/>
      <c r="K68" s="93"/>
      <c r="L68" s="33" t="str">
        <f>IF($C$1="Русский","Кексай","Keksai")</f>
        <v>Кексай</v>
      </c>
      <c r="M68" s="39" t="s">
        <v>97</v>
      </c>
      <c r="N68" s="48">
        <v>4.5</v>
      </c>
      <c r="O68" s="125"/>
      <c r="P68" s="172"/>
      <c r="Q68" s="125"/>
      <c r="R68" s="153"/>
      <c r="S68" s="127"/>
      <c r="T68" s="128"/>
      <c r="U68" s="7"/>
      <c r="V68" s="2"/>
    </row>
    <row r="69" spans="1:22" ht="12.75" customHeight="1" x14ac:dyDescent="0.2">
      <c r="A69" s="6"/>
      <c r="B69" s="122"/>
      <c r="C69" s="122"/>
      <c r="D69" s="123"/>
      <c r="E69" s="124"/>
      <c r="F69" s="128"/>
      <c r="G69" s="130"/>
      <c r="H69" s="86"/>
      <c r="I69" s="132"/>
      <c r="J69" s="86"/>
      <c r="K69" s="93"/>
      <c r="L69" s="133" t="str">
        <f>IF($C$1="Русский","7 посёлков","7 villages")</f>
        <v>7 посёлков</v>
      </c>
      <c r="M69" s="163" t="s">
        <v>98</v>
      </c>
      <c r="N69" s="136" t="str">
        <f>IF($C$1="Русский","в радиусе 10 км","within a radius of 10 km")</f>
        <v>в радиусе 10 км</v>
      </c>
      <c r="O69" s="125"/>
      <c r="P69" s="172"/>
      <c r="Q69" s="125"/>
      <c r="R69" s="153"/>
      <c r="S69" s="127"/>
      <c r="T69" s="128"/>
      <c r="U69" s="7"/>
      <c r="V69" s="2"/>
    </row>
    <row r="70" spans="1:22" ht="15" customHeight="1" x14ac:dyDescent="0.2">
      <c r="A70" s="6"/>
      <c r="B70" s="111"/>
      <c r="C70" s="111"/>
      <c r="D70" s="113"/>
      <c r="E70" s="115"/>
      <c r="F70" s="104"/>
      <c r="G70" s="121"/>
      <c r="H70" s="87"/>
      <c r="I70" s="109"/>
      <c r="J70" s="87"/>
      <c r="K70" s="94"/>
      <c r="L70" s="106"/>
      <c r="M70" s="164"/>
      <c r="N70" s="102"/>
      <c r="O70" s="106"/>
      <c r="P70" s="173"/>
      <c r="Q70" s="106"/>
      <c r="R70" s="154"/>
      <c r="S70" s="102"/>
      <c r="T70" s="104"/>
      <c r="U70" s="7"/>
      <c r="V70" s="2"/>
    </row>
    <row r="71" spans="1:22" ht="72.75" customHeight="1" x14ac:dyDescent="0.2">
      <c r="A71" s="6"/>
      <c r="B71" s="250">
        <v>33</v>
      </c>
      <c r="C71" s="116" t="str">
        <f>IF($C$1="Русский","Сарыджазская-1","Sarydjazskaya-1")</f>
        <v>Сарыджазская-1</v>
      </c>
      <c r="D71" s="151" t="s">
        <v>99</v>
      </c>
      <c r="E71" s="114" t="s">
        <v>100</v>
      </c>
      <c r="F71" s="116" t="str">
        <f>IF($C$1="Русский","(№272) р.Сарыджас-Устье р.Куйлю","No 272 the Sarydjas river - the mouth of Kuilyu river")</f>
        <v>(№272) р.Сарыджас-Устье р.Куйлю</v>
      </c>
      <c r="G71" s="120">
        <v>9</v>
      </c>
      <c r="H71" s="90" t="s">
        <v>101</v>
      </c>
      <c r="I71" s="108">
        <f>0.8*9.81*G71*H71/0.8</f>
        <v>494.42399999999998</v>
      </c>
      <c r="J71" s="90" t="s">
        <v>102</v>
      </c>
      <c r="K71" s="92">
        <f>0.8*9.81*G71*J71/0.8</f>
        <v>2480.9490000000001</v>
      </c>
      <c r="L71" s="117" t="str">
        <f>IF($C$1="Русский","Иныльчек","Inyl'check")</f>
        <v>Иныльчек</v>
      </c>
      <c r="M71" s="168" t="s">
        <v>103</v>
      </c>
      <c r="N71" s="107" t="str">
        <f>IF($C$1="Русский","4,5 км от ближнего створа; 7 км от дальнего створа","4,5 km from the nearest alignment; 7 km from the far alignment)")</f>
        <v>4,5 км от ближнего створа; 7 км от дальнего створа</v>
      </c>
      <c r="O71" s="151" t="str">
        <f>IF($C$1="Русский","существует в 4 км от ближнего створа; 6,5 км от дальнего створа","available 4 km from the nearest alignment; 6,5 km from the farest alignment")</f>
        <v>существует в 4 км от ближнего створа; 6,5 км от дальнего створа</v>
      </c>
      <c r="P71" s="165"/>
      <c r="Q71" s="105"/>
      <c r="R71" s="152"/>
      <c r="S71" s="107" t="str">
        <f>IF($C$1="Русский","существует в 5 км от ближнего створа; 7,5 км от дальнего створа","available 5 km from the nearest alignment; 7.5 km from the far alignment")</f>
        <v>существует в 5 км от ближнего створа; 7,5 км от дальнего створа</v>
      </c>
      <c r="T71" s="116" t="str">
        <f>IF($C$1="Русский","дорожно-эксплуатационное управление","Road maintenance department")</f>
        <v>дорожно-эксплуатационное управление</v>
      </c>
      <c r="U71" s="7"/>
      <c r="V71" s="2"/>
    </row>
    <row r="72" spans="1:22" ht="15" customHeight="1" x14ac:dyDescent="0.2">
      <c r="A72" s="6"/>
      <c r="B72" s="170"/>
      <c r="C72" s="170"/>
      <c r="D72" s="130"/>
      <c r="E72" s="124"/>
      <c r="F72" s="128"/>
      <c r="G72" s="130"/>
      <c r="H72" s="86"/>
      <c r="I72" s="132"/>
      <c r="J72" s="86"/>
      <c r="K72" s="93"/>
      <c r="L72" s="167"/>
      <c r="M72" s="169"/>
      <c r="N72" s="166"/>
      <c r="O72" s="130"/>
      <c r="P72" s="124"/>
      <c r="Q72" s="125"/>
      <c r="R72" s="153"/>
      <c r="S72" s="127"/>
      <c r="T72" s="128"/>
      <c r="U72" s="7"/>
      <c r="V72" s="2"/>
    </row>
    <row r="73" spans="1:22" ht="15" customHeight="1" x14ac:dyDescent="0.2">
      <c r="A73" s="6"/>
      <c r="B73" s="251">
        <v>34</v>
      </c>
      <c r="C73" s="162" t="str">
        <f>IF($C$1="Русский","Сарыджазская-2","Sarydjazskaya-2")</f>
        <v>Сарыджазская-2</v>
      </c>
      <c r="D73" s="131" t="s">
        <v>104</v>
      </c>
      <c r="E73" s="143" t="s">
        <v>105</v>
      </c>
      <c r="F73" s="128"/>
      <c r="G73" s="148">
        <v>7</v>
      </c>
      <c r="H73" s="86"/>
      <c r="I73" s="132">
        <f>0.8*9.81*G73*H71/0.8</f>
        <v>384.55200000000002</v>
      </c>
      <c r="J73" s="86"/>
      <c r="K73" s="93">
        <f>0.8*9.81*G73*J71/0.8</f>
        <v>1929.6270000000004</v>
      </c>
      <c r="L73" s="133" t="str">
        <f>IF($C$1="Русский","Кургак","Kurgaak")</f>
        <v>Кургак</v>
      </c>
      <c r="M73" s="163" t="s">
        <v>106</v>
      </c>
      <c r="N73" s="136" t="str">
        <f>IF($C$1="Русский","в радиусе 5 км","within a radius of 5 km")</f>
        <v>в радиусе 5 км</v>
      </c>
      <c r="O73" s="130"/>
      <c r="P73" s="124"/>
      <c r="Q73" s="125"/>
      <c r="R73" s="153"/>
      <c r="S73" s="127"/>
      <c r="T73" s="128"/>
      <c r="U73" s="7"/>
      <c r="V73" s="2"/>
    </row>
    <row r="74" spans="1:22" ht="15" customHeight="1" x14ac:dyDescent="0.2">
      <c r="A74" s="6"/>
      <c r="B74" s="104"/>
      <c r="C74" s="104"/>
      <c r="D74" s="121"/>
      <c r="E74" s="115"/>
      <c r="F74" s="104"/>
      <c r="G74" s="121"/>
      <c r="H74" s="87"/>
      <c r="I74" s="109"/>
      <c r="J74" s="87"/>
      <c r="K74" s="94"/>
      <c r="L74" s="106"/>
      <c r="M74" s="164"/>
      <c r="N74" s="102"/>
      <c r="O74" s="121"/>
      <c r="P74" s="115"/>
      <c r="Q74" s="106"/>
      <c r="R74" s="154"/>
      <c r="S74" s="102"/>
      <c r="T74" s="104"/>
      <c r="U74" s="7"/>
      <c r="V74" s="2"/>
    </row>
    <row r="75" spans="1:22" ht="64.5" customHeight="1" x14ac:dyDescent="0.2">
      <c r="A75" s="6"/>
      <c r="B75" s="17">
        <v>35</v>
      </c>
      <c r="C75" s="43" t="str">
        <f>IF($C$1="Русский","Куйлюйская","Kuilyuiskaya")</f>
        <v>Куйлюйская</v>
      </c>
      <c r="D75" s="44" t="s">
        <v>107</v>
      </c>
      <c r="E75" s="45" t="s">
        <v>107</v>
      </c>
      <c r="F75" s="50" t="str">
        <f>IF($C$1="Русский","(№273) р.Куйлю-Устье","No 273 the mouth of Kuilyu river")</f>
        <v>(№273) р.Куйлю-Устье</v>
      </c>
      <c r="G75" s="13">
        <v>8</v>
      </c>
      <c r="H75" s="51" t="s">
        <v>108</v>
      </c>
      <c r="I75" s="52">
        <f>0.8*9.81*H75*G75/0.8</f>
        <v>110.6568</v>
      </c>
      <c r="J75" s="51" t="s">
        <v>109</v>
      </c>
      <c r="K75" s="53">
        <f>0.8*9.81*G75*J75/0.8</f>
        <v>629.40959999999995</v>
      </c>
      <c r="L75" s="54" t="str">
        <f>IF($C$1="Русский","Куйлю","Kuilyu")</f>
        <v>Куйлю</v>
      </c>
      <c r="M75" s="55" t="s">
        <v>110</v>
      </c>
      <c r="N75" s="14">
        <v>2</v>
      </c>
      <c r="O75" s="26" t="str">
        <f>IF($C$1="Русский","существует в 2 км от створа","available 2 km from the alignment")</f>
        <v>существует в 2 км от створа</v>
      </c>
      <c r="P75" s="56"/>
      <c r="Q75" s="57"/>
      <c r="R75" s="58"/>
      <c r="S75" s="45" t="str">
        <f>IF($C$1="Русский","существует","available")</f>
        <v>существует</v>
      </c>
      <c r="T75" s="59"/>
      <c r="U75" s="7"/>
      <c r="V75" s="2"/>
    </row>
    <row r="76" spans="1:22" ht="65.25" customHeight="1" x14ac:dyDescent="0.2">
      <c r="A76" s="6"/>
      <c r="B76" s="17">
        <v>36</v>
      </c>
      <c r="C76" s="43" t="str">
        <f>IF($C$1="Русский","Иныльчекская","Inylchekskaya")</f>
        <v>Иныльчекская</v>
      </c>
      <c r="D76" s="44" t="s">
        <v>111</v>
      </c>
      <c r="E76" s="45" t="s">
        <v>112</v>
      </c>
      <c r="F76" s="50" t="str">
        <f>IF($C$1="Русский","(№272) р. Сарыджас-Устье р.Куйлю","No 272 the Sarydjas river - the mouth of Kuilyu river")</f>
        <v>(№272) р. Сарыджас-Устье р.Куйлю</v>
      </c>
      <c r="G76" s="13">
        <v>10</v>
      </c>
      <c r="H76" s="60">
        <v>5.6</v>
      </c>
      <c r="I76" s="52">
        <f>0.8*9.81*H76*G76/0.8</f>
        <v>549.36</v>
      </c>
      <c r="J76" s="60">
        <v>28.1</v>
      </c>
      <c r="K76" s="53">
        <f>0.8*9.81*G76*J76/0.8</f>
        <v>2756.6099999999997</v>
      </c>
      <c r="L76" s="54" t="str">
        <f>IF($C$1="Русский","Иныльчек","Inyl'check")</f>
        <v>Иныльчек</v>
      </c>
      <c r="M76" s="55" t="s">
        <v>113</v>
      </c>
      <c r="N76" s="61">
        <v>1</v>
      </c>
      <c r="O76" s="8" t="str">
        <f>IF($C$1="Русский","существует","available")</f>
        <v>существует</v>
      </c>
      <c r="P76" s="35"/>
      <c r="Q76" s="57"/>
      <c r="R76" s="62"/>
      <c r="S76" s="55" t="str">
        <f>IF($C$1="Русский","существует","available")</f>
        <v>существует</v>
      </c>
      <c r="T76" s="45" t="str">
        <f>IF($C$1="Русский","дорожно-эксплуатационное управление","Road maintenance department")</f>
        <v>дорожно-эксплуатационное управление</v>
      </c>
      <c r="U76" s="7"/>
      <c r="V76" s="2"/>
    </row>
    <row r="77" spans="1:22" ht="15" customHeight="1" x14ac:dyDescent="0.2">
      <c r="A77" s="6"/>
      <c r="B77" s="240">
        <v>37</v>
      </c>
      <c r="C77" s="110" t="str">
        <f>IF($C$1="Русский","Турасу","Turasu")</f>
        <v>Турасу</v>
      </c>
      <c r="D77" s="112" t="s">
        <v>114</v>
      </c>
      <c r="E77" s="114" t="s">
        <v>115</v>
      </c>
      <c r="F77" s="116" t="str">
        <f>IF($C$1="Русский","(№154) р. Турасу-с.Улахол","No 154 the Turasu river - the Ulakhol river")</f>
        <v>(№154) р. Турасу-с.Улахол</v>
      </c>
      <c r="G77" s="120">
        <v>21</v>
      </c>
      <c r="H77" s="90" t="s">
        <v>116</v>
      </c>
      <c r="I77" s="108">
        <f>0.8*9.81*H77*G77/0.8</f>
        <v>191.58930000000001</v>
      </c>
      <c r="J77" s="90" t="s">
        <v>117</v>
      </c>
      <c r="K77" s="92">
        <f>0.8*9.81*G77*J77/0.8</f>
        <v>420.26040000000006</v>
      </c>
      <c r="L77" s="26" t="str">
        <f>IF($C$1="Русский","Караталаа","Karatalaa")</f>
        <v>Караталаа</v>
      </c>
      <c r="M77" s="27" t="s">
        <v>118</v>
      </c>
      <c r="N77" s="38">
        <v>4</v>
      </c>
      <c r="O77" s="105"/>
      <c r="P77" s="157" t="str">
        <f>IF($C$1="Русский","существует","available")</f>
        <v>существует</v>
      </c>
      <c r="Q77" s="151" t="str">
        <f>IF($C$1="Русский","существует в  4 км от створа","available 4 km from the alignment")</f>
        <v>существует в  4 км от створа</v>
      </c>
      <c r="R77" s="155"/>
      <c r="S77" s="114" t="str">
        <f>IF($C$1="Русский","существует","available")</f>
        <v>существует</v>
      </c>
      <c r="T77" s="116" t="str">
        <f>IF($C$1="Русский","ГЭС в 3 км вверх по течению","HPP 3 km upstream")</f>
        <v>ГЭС в 3 км вверх по течению</v>
      </c>
      <c r="U77" s="7"/>
      <c r="V77" s="2"/>
    </row>
    <row r="78" spans="1:22" ht="30.6" customHeight="1" x14ac:dyDescent="0.2">
      <c r="A78" s="6"/>
      <c r="B78" s="111"/>
      <c r="C78" s="111"/>
      <c r="D78" s="113"/>
      <c r="E78" s="115"/>
      <c r="F78" s="104"/>
      <c r="G78" s="121"/>
      <c r="H78" s="87"/>
      <c r="I78" s="109"/>
      <c r="J78" s="87"/>
      <c r="K78" s="94"/>
      <c r="L78" s="8" t="str">
        <f>IF($C$1="Русский","2 посёлка","2 villages")</f>
        <v>2 посёлка</v>
      </c>
      <c r="M78" s="11" t="s">
        <v>119</v>
      </c>
      <c r="N78" s="9" t="str">
        <f>IF($C$1="Русский","в радиусе 10 км","within a radius of 10 km")</f>
        <v>в радиусе 10 км</v>
      </c>
      <c r="O78" s="106"/>
      <c r="P78" s="158"/>
      <c r="Q78" s="121"/>
      <c r="R78" s="156"/>
      <c r="S78" s="115"/>
      <c r="T78" s="104"/>
      <c r="U78" s="7"/>
      <c r="V78" s="2"/>
    </row>
    <row r="79" spans="1:22" ht="20.25" customHeight="1" x14ac:dyDescent="0.2">
      <c r="A79" s="6"/>
      <c r="B79" s="240">
        <v>38</v>
      </c>
      <c r="C79" s="110" t="str">
        <f>IF($C$1="Русский","Дархан","Darkhan")</f>
        <v>Дархан</v>
      </c>
      <c r="D79" s="112" t="s">
        <v>120</v>
      </c>
      <c r="E79" s="114" t="s">
        <v>121</v>
      </c>
      <c r="F79" s="116" t="str">
        <f>IF($C$1="Русский","(№137) р. Джууку-Устье р. Джуукучак","No 137 the Juuku river - the mouth of Juukuchak river")</f>
        <v>(№137) р. Джууку-Устье р. Джуукучак</v>
      </c>
      <c r="G79" s="120">
        <v>20</v>
      </c>
      <c r="H79" s="77">
        <v>1.17</v>
      </c>
      <c r="I79" s="108">
        <f>0.8*9.81*G79*H79/0.8</f>
        <v>229.554</v>
      </c>
      <c r="J79" s="77">
        <v>4.43</v>
      </c>
      <c r="K79" s="92">
        <f>0.8*9.81*G79*J79/0.8</f>
        <v>869.16599999999994</v>
      </c>
      <c r="L79" s="26" t="str">
        <f>IF($C$1="Русский","Дархан","Darkhan")</f>
        <v>Дархан</v>
      </c>
      <c r="M79" s="27" t="s">
        <v>122</v>
      </c>
      <c r="N79" s="38">
        <v>8.5</v>
      </c>
      <c r="O79" s="105"/>
      <c r="P79" s="114" t="str">
        <f>IF($C$1="Русский","существует","available")</f>
        <v>существует</v>
      </c>
      <c r="Q79" s="151" t="str">
        <f>IF($C$1="Русский","существует","available")</f>
        <v>существует</v>
      </c>
      <c r="R79" s="152"/>
      <c r="S79" s="101"/>
      <c r="T79" s="103"/>
      <c r="U79" s="7"/>
      <c r="V79" s="2"/>
    </row>
    <row r="80" spans="1:22" ht="20.25" customHeight="1" x14ac:dyDescent="0.2">
      <c r="A80" s="6"/>
      <c r="B80" s="122"/>
      <c r="C80" s="122"/>
      <c r="D80" s="123"/>
      <c r="E80" s="124"/>
      <c r="F80" s="128"/>
      <c r="G80" s="130"/>
      <c r="H80" s="85"/>
      <c r="I80" s="132"/>
      <c r="J80" s="85"/>
      <c r="K80" s="93"/>
      <c r="L80" s="33" t="str">
        <f>IF($C$1="Русский","Сары","Sary")</f>
        <v>Сары</v>
      </c>
      <c r="M80" s="39" t="s">
        <v>123</v>
      </c>
      <c r="N80" s="48">
        <v>8.5</v>
      </c>
      <c r="O80" s="125"/>
      <c r="P80" s="124"/>
      <c r="Q80" s="130"/>
      <c r="R80" s="153"/>
      <c r="S80" s="127"/>
      <c r="T80" s="128"/>
      <c r="U80" s="7"/>
      <c r="V80" s="2"/>
    </row>
    <row r="81" spans="1:22" ht="20.25" customHeight="1" x14ac:dyDescent="0.2">
      <c r="A81" s="6"/>
      <c r="B81" s="111"/>
      <c r="C81" s="111"/>
      <c r="D81" s="113"/>
      <c r="E81" s="115"/>
      <c r="F81" s="104"/>
      <c r="G81" s="121"/>
      <c r="H81" s="78"/>
      <c r="I81" s="109"/>
      <c r="J81" s="78"/>
      <c r="K81" s="94"/>
      <c r="L81" s="8" t="str">
        <f>IF($C$1="Русский","Джалгызурюк","Djalgyzuryuk")</f>
        <v>Джалгызурюк</v>
      </c>
      <c r="M81" s="11" t="s">
        <v>124</v>
      </c>
      <c r="N81" s="49">
        <v>8</v>
      </c>
      <c r="O81" s="106"/>
      <c r="P81" s="115"/>
      <c r="Q81" s="121"/>
      <c r="R81" s="154"/>
      <c r="S81" s="102"/>
      <c r="T81" s="104"/>
      <c r="U81" s="7"/>
      <c r="V81" s="2"/>
    </row>
    <row r="82" spans="1:22" ht="24.75" customHeight="1" x14ac:dyDescent="0.3">
      <c r="A82" s="6"/>
      <c r="B82" s="237" t="str">
        <f>IF($C$1="Русский","Нарынская область","Naryn region")</f>
        <v>Нарынская область</v>
      </c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9"/>
      <c r="U82" s="7"/>
      <c r="V82" s="2"/>
    </row>
    <row r="83" spans="1:22" ht="24" customHeight="1" x14ac:dyDescent="0.2">
      <c r="A83" s="6"/>
      <c r="B83" s="241">
        <v>39</v>
      </c>
      <c r="C83" s="149" t="str">
        <f>IF($C$1="Русский","Мин-Кушская-1","Min-Kushskaya-1")</f>
        <v>Мин-Кушская-1</v>
      </c>
      <c r="D83" s="112" t="s">
        <v>125</v>
      </c>
      <c r="E83" s="114" t="s">
        <v>126</v>
      </c>
      <c r="F83" s="116" t="str">
        <f>IF($C$1="Русский","(№29) р. Кёкёмерен - в 0,5 км ниже устья р. Джумгол","No 29 the Kokomeren river - in 0,5 km down the mouth of Jumgol river")</f>
        <v>(№29) р. Кёкёмерен - в 0,5 км ниже устья р. Джумгол</v>
      </c>
      <c r="G83" s="120">
        <v>11.5</v>
      </c>
      <c r="H83" s="77">
        <v>26.6</v>
      </c>
      <c r="I83" s="108">
        <f>0.8*9.81*G83*H83/0.8</f>
        <v>3000.8790000000004</v>
      </c>
      <c r="J83" s="77">
        <v>50.6</v>
      </c>
      <c r="K83" s="92">
        <f>0.8*9.81*G83*J83/0.8</f>
        <v>5708.4390000000003</v>
      </c>
      <c r="L83" s="151" t="str">
        <f>IF($C$1="Русский","Арал","Aral")</f>
        <v>Арал</v>
      </c>
      <c r="M83" s="82" t="s">
        <v>127</v>
      </c>
      <c r="N83" s="114" t="str">
        <f>IF($C$1="Русский","6,5 км от ближнего створа","6,5 km from the nearest alignment")</f>
        <v>6,5 км от ближнего створа</v>
      </c>
      <c r="O83" s="105"/>
      <c r="P83" s="107" t="str">
        <f>IF($C$1="Русский","в 12 км от ближайшего створа","available 12 km from the nearest alignment")</f>
        <v>в 12 км от ближайшего створа</v>
      </c>
      <c r="Q83" s="159" t="str">
        <f>IF($C$1="Русский","существует","available")</f>
        <v>существует</v>
      </c>
      <c r="R83" s="118"/>
      <c r="S83" s="101"/>
      <c r="T83" s="103"/>
      <c r="U83" s="7"/>
      <c r="V83" s="2"/>
    </row>
    <row r="84" spans="1:22" ht="20.25" customHeight="1" x14ac:dyDescent="0.2">
      <c r="A84" s="6"/>
      <c r="B84" s="150"/>
      <c r="C84" s="150"/>
      <c r="D84" s="123"/>
      <c r="E84" s="124"/>
      <c r="F84" s="128"/>
      <c r="G84" s="130"/>
      <c r="H84" s="85"/>
      <c r="I84" s="132"/>
      <c r="J84" s="85"/>
      <c r="K84" s="93"/>
      <c r="L84" s="130"/>
      <c r="M84" s="83"/>
      <c r="N84" s="124"/>
      <c r="O84" s="125"/>
      <c r="P84" s="127"/>
      <c r="Q84" s="160"/>
      <c r="R84" s="126"/>
      <c r="S84" s="127"/>
      <c r="T84" s="128"/>
      <c r="U84" s="7"/>
      <c r="V84" s="2"/>
    </row>
    <row r="85" spans="1:22" ht="12.75" customHeight="1" x14ac:dyDescent="0.2">
      <c r="A85" s="6"/>
      <c r="B85" s="150"/>
      <c r="C85" s="150"/>
      <c r="D85" s="123"/>
      <c r="E85" s="124"/>
      <c r="F85" s="128"/>
      <c r="G85" s="130"/>
      <c r="H85" s="85"/>
      <c r="I85" s="132"/>
      <c r="J85" s="85"/>
      <c r="K85" s="93"/>
      <c r="L85" s="131" t="str">
        <f>IF($C$1="Русский","6 посёлков","6 villages")</f>
        <v>6 посёлков</v>
      </c>
      <c r="M85" s="83" t="s">
        <v>128</v>
      </c>
      <c r="N85" s="143" t="str">
        <f>IF($C$1="Русский","в радиусе 20 км","within a radius of 20 km")</f>
        <v>в радиусе 20 км</v>
      </c>
      <c r="O85" s="125"/>
      <c r="P85" s="127"/>
      <c r="Q85" s="160"/>
      <c r="R85" s="126"/>
      <c r="S85" s="127"/>
      <c r="T85" s="128"/>
      <c r="U85" s="7"/>
      <c r="V85" s="2"/>
    </row>
    <row r="86" spans="1:22" ht="12.75" customHeight="1" x14ac:dyDescent="0.2">
      <c r="A86" s="6"/>
      <c r="B86" s="244">
        <v>40</v>
      </c>
      <c r="C86" s="144" t="str">
        <f>IF($C$1="Русский","Мин-Кушская-2","Min-Kushskaya-2")</f>
        <v>Мин-Кушская-2</v>
      </c>
      <c r="D86" s="146" t="s">
        <v>129</v>
      </c>
      <c r="E86" s="143" t="s">
        <v>130</v>
      </c>
      <c r="F86" s="128"/>
      <c r="G86" s="148">
        <v>8.5</v>
      </c>
      <c r="H86" s="147">
        <v>26.6</v>
      </c>
      <c r="I86" s="132">
        <f>0.8*9.81*G86*H86/0.8</f>
        <v>2218.0410000000006</v>
      </c>
      <c r="J86" s="147">
        <v>50.6</v>
      </c>
      <c r="K86" s="93">
        <f>0.8*9.81*G86*J86/0.8</f>
        <v>4219.2810000000009</v>
      </c>
      <c r="L86" s="130"/>
      <c r="M86" s="83"/>
      <c r="N86" s="124"/>
      <c r="O86" s="125"/>
      <c r="P86" s="127"/>
      <c r="Q86" s="160"/>
      <c r="R86" s="126"/>
      <c r="S86" s="127"/>
      <c r="T86" s="128"/>
      <c r="U86" s="7"/>
      <c r="V86" s="2"/>
    </row>
    <row r="87" spans="1:22" ht="33" customHeight="1" x14ac:dyDescent="0.2">
      <c r="A87" s="6"/>
      <c r="B87" s="145"/>
      <c r="C87" s="145"/>
      <c r="D87" s="113"/>
      <c r="E87" s="115"/>
      <c r="F87" s="104"/>
      <c r="G87" s="121"/>
      <c r="H87" s="255"/>
      <c r="I87" s="109"/>
      <c r="J87" s="78"/>
      <c r="K87" s="94"/>
      <c r="L87" s="121"/>
      <c r="M87" s="84"/>
      <c r="N87" s="115"/>
      <c r="O87" s="106"/>
      <c r="P87" s="102"/>
      <c r="Q87" s="161"/>
      <c r="R87" s="119"/>
      <c r="S87" s="102"/>
      <c r="T87" s="104"/>
      <c r="U87" s="7"/>
      <c r="V87" s="2"/>
    </row>
    <row r="88" spans="1:22" ht="15" customHeight="1" x14ac:dyDescent="0.2">
      <c r="A88" s="6"/>
      <c r="B88" s="240">
        <v>41</v>
      </c>
      <c r="C88" s="110" t="str">
        <f>IF($C$1="Русский","Суекская","Suekskaya")</f>
        <v>Суекская</v>
      </c>
      <c r="D88" s="112" t="s">
        <v>131</v>
      </c>
      <c r="E88" s="114" t="s">
        <v>132</v>
      </c>
      <c r="F88" s="116" t="str">
        <f>IF($C$1="Русский","(№207, р. Суек-Устье руч.Ичкесай)","No 207 the Suek river - the mouth of Ichkesai creek")</f>
        <v>(№207, р. Суек-Устье руч.Ичкесай)</v>
      </c>
      <c r="G88" s="120">
        <v>14</v>
      </c>
      <c r="H88" s="77">
        <v>1.77</v>
      </c>
      <c r="I88" s="108">
        <f>0.8*9.81*G88*H88/0.8</f>
        <v>243.09180000000003</v>
      </c>
      <c r="J88" s="77">
        <v>4.0999999999999996</v>
      </c>
      <c r="K88" s="92">
        <f>0.8*9.81*G88*J88/0.8</f>
        <v>563.09400000000005</v>
      </c>
      <c r="L88" s="26" t="str">
        <f>IF($C$1="Русский","Кызылтюбе","Kyzyltyube")</f>
        <v>Кызылтюбе</v>
      </c>
      <c r="M88" s="27" t="s">
        <v>133</v>
      </c>
      <c r="N88" s="38">
        <v>2</v>
      </c>
      <c r="O88" s="105"/>
      <c r="P88" s="107" t="str">
        <f>IF($C$1="Русский","в 10 км от створа","available 10 km from the alignment")</f>
        <v>в 10 км от створа</v>
      </c>
      <c r="Q88" s="117" t="str">
        <f>IF($C$1="Русский","существует в  10 км от створа","available 10 km from the alignment")</f>
        <v>существует в  10 км от створа</v>
      </c>
      <c r="R88" s="118"/>
      <c r="S88" s="107" t="str">
        <f>IF($C$1="Русский","существует","available")</f>
        <v>существует</v>
      </c>
      <c r="T88" s="103"/>
      <c r="U88" s="7"/>
      <c r="V88" s="2"/>
    </row>
    <row r="89" spans="1:22" ht="14.25" customHeight="1" x14ac:dyDescent="0.2">
      <c r="A89" s="6"/>
      <c r="B89" s="122"/>
      <c r="C89" s="122"/>
      <c r="D89" s="123"/>
      <c r="E89" s="124"/>
      <c r="F89" s="128"/>
      <c r="G89" s="130"/>
      <c r="H89" s="85"/>
      <c r="I89" s="132"/>
      <c r="J89" s="85"/>
      <c r="K89" s="93"/>
      <c r="L89" s="131" t="str">
        <f>IF($C$1="Русский","12 посёлков","12 villages")</f>
        <v>12 посёлков</v>
      </c>
      <c r="M89" s="137" t="s">
        <v>134</v>
      </c>
      <c r="N89" s="143" t="str">
        <f>IF($C$1="Русский","в радиусе 10 км","within a radius of 10 km")</f>
        <v>в радиусе 10 км</v>
      </c>
      <c r="O89" s="125"/>
      <c r="P89" s="127"/>
      <c r="Q89" s="125"/>
      <c r="R89" s="126"/>
      <c r="S89" s="127"/>
      <c r="T89" s="128"/>
      <c r="U89" s="7"/>
      <c r="V89" s="2"/>
    </row>
    <row r="90" spans="1:22" ht="19.5" customHeight="1" x14ac:dyDescent="0.2">
      <c r="A90" s="6"/>
      <c r="B90" s="111"/>
      <c r="C90" s="111"/>
      <c r="D90" s="113"/>
      <c r="E90" s="115"/>
      <c r="F90" s="104"/>
      <c r="G90" s="121"/>
      <c r="H90" s="78"/>
      <c r="I90" s="109"/>
      <c r="J90" s="78"/>
      <c r="K90" s="94"/>
      <c r="L90" s="121"/>
      <c r="M90" s="138"/>
      <c r="N90" s="115"/>
      <c r="O90" s="106"/>
      <c r="P90" s="102"/>
      <c r="Q90" s="106"/>
      <c r="R90" s="119"/>
      <c r="S90" s="102"/>
      <c r="T90" s="104"/>
      <c r="U90" s="7"/>
      <c r="V90" s="2"/>
    </row>
    <row r="91" spans="1:22" ht="30" customHeight="1" x14ac:dyDescent="0.2">
      <c r="A91" s="6"/>
      <c r="B91" s="240">
        <v>42</v>
      </c>
      <c r="C91" s="110" t="str">
        <f>IF($C$1="Русский","Джуванарыкская","Djuvanarynskaya")</f>
        <v>Джуванарыкская</v>
      </c>
      <c r="D91" s="112" t="s">
        <v>135</v>
      </c>
      <c r="E91" s="114" t="s">
        <v>136</v>
      </c>
      <c r="F91" s="116" t="str">
        <f>IF($C$1="Русский","(сумма расходов по постам №204 и 205) р. Джуанарык","(the amount of expenses for posts No. 204 and 205) the Dzhuanaryk river")</f>
        <v>(сумма расходов по постам №204 и 205) р. Джуанарык</v>
      </c>
      <c r="G91" s="120">
        <v>13</v>
      </c>
      <c r="H91" s="95">
        <f>3.7+0.97</f>
        <v>4.67</v>
      </c>
      <c r="I91" s="108">
        <f>0.8*9.81*G91*H91/0.8</f>
        <v>595.56510000000003</v>
      </c>
      <c r="J91" s="95">
        <f>1.42+5.93</f>
        <v>7.35</v>
      </c>
      <c r="K91" s="92">
        <f>0.8*9.81*G91*J91/0.8</f>
        <v>937.34550000000013</v>
      </c>
      <c r="L91" s="26" t="str">
        <f>IF($C$1="Русский","Кокджар, Арал, Джуанарык","Kokjar, Aral, Djuanaryk")</f>
        <v>Кокджар, Арал, Джуанарык</v>
      </c>
      <c r="M91" s="27" t="s">
        <v>137</v>
      </c>
      <c r="N91" s="38">
        <v>1</v>
      </c>
      <c r="O91" s="117" t="str">
        <f>IF($C$1="Русский","существует в 10 км от створа","available 10 km from the alignment")</f>
        <v>существует в 10 км от створа</v>
      </c>
      <c r="P91" s="107" t="str">
        <f>IF($C$1="Русский","существует","available")</f>
        <v>существует</v>
      </c>
      <c r="Q91" s="117" t="str">
        <f>IF($C$1="Русский","существует","available")</f>
        <v>существует</v>
      </c>
      <c r="R91" s="118"/>
      <c r="S91" s="101"/>
      <c r="T91" s="116" t="str">
        <f>IF($C$1="Русский","Малая ГЭС в 9 км от створа; изолированное электроснабжение","SHPP 9 km from the alignment; isolated power supply")</f>
        <v>Малая ГЭС в 9 км от створа; изолированное электроснабжение</v>
      </c>
      <c r="U91" s="7"/>
      <c r="V91" s="2"/>
    </row>
    <row r="92" spans="1:22" ht="12.75" customHeight="1" x14ac:dyDescent="0.2">
      <c r="A92" s="6"/>
      <c r="B92" s="122"/>
      <c r="C92" s="122"/>
      <c r="D92" s="123"/>
      <c r="E92" s="124"/>
      <c r="F92" s="128"/>
      <c r="G92" s="130"/>
      <c r="H92" s="96"/>
      <c r="I92" s="132"/>
      <c r="J92" s="96"/>
      <c r="K92" s="93"/>
      <c r="L92" s="133" t="str">
        <f>IF($C$1="Русский","9 посёлков","9 villages")</f>
        <v>9 посёлков</v>
      </c>
      <c r="M92" s="134" t="s">
        <v>138</v>
      </c>
      <c r="N92" s="136" t="str">
        <f>IF($C$1="Русский","в радиусе 10 км","within a radius of 10 km")</f>
        <v>в радиусе 10 км</v>
      </c>
      <c r="O92" s="125"/>
      <c r="P92" s="127"/>
      <c r="Q92" s="125"/>
      <c r="R92" s="126"/>
      <c r="S92" s="127"/>
      <c r="T92" s="128"/>
      <c r="U92" s="7"/>
      <c r="V92" s="2"/>
    </row>
    <row r="93" spans="1:22" ht="34.5" customHeight="1" x14ac:dyDescent="0.2">
      <c r="A93" s="6"/>
      <c r="B93" s="111"/>
      <c r="C93" s="111"/>
      <c r="D93" s="113"/>
      <c r="E93" s="115"/>
      <c r="F93" s="104"/>
      <c r="G93" s="121"/>
      <c r="H93" s="97"/>
      <c r="I93" s="109"/>
      <c r="J93" s="97"/>
      <c r="K93" s="94"/>
      <c r="L93" s="106"/>
      <c r="M93" s="135"/>
      <c r="N93" s="102"/>
      <c r="O93" s="106"/>
      <c r="P93" s="102"/>
      <c r="Q93" s="106"/>
      <c r="R93" s="119"/>
      <c r="S93" s="102"/>
      <c r="T93" s="104"/>
      <c r="U93" s="7"/>
      <c r="V93" s="2"/>
    </row>
    <row r="94" spans="1:22" ht="16.5" customHeight="1" x14ac:dyDescent="0.2">
      <c r="A94" s="6"/>
      <c r="B94" s="240">
        <v>43</v>
      </c>
      <c r="C94" s="110" t="str">
        <f>IF($C$1="Русский","Тогузбулакская","Toguzbulakskaya")</f>
        <v>Тогузбулакская</v>
      </c>
      <c r="D94" s="112" t="s">
        <v>139</v>
      </c>
      <c r="E94" s="114" t="s">
        <v>140</v>
      </c>
      <c r="F94" s="116" t="str">
        <f>IF($C$1="Русский","(№212) р. Укок-Южная окраина с.Кароя","No 212 the Ukok river - Southern outskirts of the village of Karoya")</f>
        <v>(№212) р. Укок-Южная окраина с.Кароя</v>
      </c>
      <c r="G94" s="120">
        <v>60</v>
      </c>
      <c r="H94" s="95">
        <v>0.3</v>
      </c>
      <c r="I94" s="108">
        <f>0.8*9.81*G94*H94/0.8</f>
        <v>176.58</v>
      </c>
      <c r="J94" s="95">
        <v>0.38</v>
      </c>
      <c r="K94" s="92">
        <f>0.8*9.81*G94*J94/0.8</f>
        <v>223.66800000000001</v>
      </c>
      <c r="L94" s="26" t="str">
        <f>IF($C$1="Русский","Укок","Ukok")</f>
        <v>Укок</v>
      </c>
      <c r="M94" s="27" t="s">
        <v>141</v>
      </c>
      <c r="N94" s="38">
        <v>2.5</v>
      </c>
      <c r="O94" s="117" t="str">
        <f>IF($C$1="Русский","существует в 5 км от створа","available 5 km from the alignment")</f>
        <v>существует в 5 км от створа</v>
      </c>
      <c r="P94" s="107" t="str">
        <f>IF($C$1="Русский","в 2,5 км от створа","available 2,5 km from the alignment")</f>
        <v>в 2,5 км от створа</v>
      </c>
      <c r="Q94" s="117" t="str">
        <f>IF($C$1="Русский","существует в 5 км от створа","available 5 km from the alignment")</f>
        <v>существует в 5 км от створа</v>
      </c>
      <c r="R94" s="118"/>
      <c r="S94" s="107" t="str">
        <f>IF($C$1="Русский","просёлочная","country road")</f>
        <v>просёлочная</v>
      </c>
      <c r="T94" s="140" t="str">
        <f>IF($C$1="Русский","изолированное электроснабжение","isolated power supply")</f>
        <v>изолированное электроснабжение</v>
      </c>
      <c r="U94" s="7"/>
      <c r="V94" s="2"/>
    </row>
    <row r="95" spans="1:22" ht="15.75" customHeight="1" x14ac:dyDescent="0.2">
      <c r="A95" s="6"/>
      <c r="B95" s="122"/>
      <c r="C95" s="122"/>
      <c r="D95" s="123"/>
      <c r="E95" s="124"/>
      <c r="F95" s="128"/>
      <c r="G95" s="130"/>
      <c r="H95" s="96"/>
      <c r="I95" s="132"/>
      <c r="J95" s="96"/>
      <c r="K95" s="93"/>
      <c r="L95" s="33" t="str">
        <f>IF($C$1="Русский","Карой","Karoi")</f>
        <v>Карой</v>
      </c>
      <c r="M95" s="34" t="s">
        <v>142</v>
      </c>
      <c r="N95" s="48">
        <v>3</v>
      </c>
      <c r="O95" s="125"/>
      <c r="P95" s="127"/>
      <c r="Q95" s="125"/>
      <c r="R95" s="126"/>
      <c r="S95" s="127"/>
      <c r="T95" s="141"/>
      <c r="U95" s="7"/>
      <c r="V95" s="2"/>
    </row>
    <row r="96" spans="1:22" ht="33" customHeight="1" x14ac:dyDescent="0.2">
      <c r="A96" s="6"/>
      <c r="B96" s="111"/>
      <c r="C96" s="111"/>
      <c r="D96" s="113"/>
      <c r="E96" s="115"/>
      <c r="F96" s="104"/>
      <c r="G96" s="121"/>
      <c r="H96" s="97"/>
      <c r="I96" s="109"/>
      <c r="J96" s="97"/>
      <c r="K96" s="94"/>
      <c r="L96" s="8" t="str">
        <f>IF($C$1="Русский","Карасу","Karasu")</f>
        <v>Карасу</v>
      </c>
      <c r="M96" s="36" t="s">
        <v>143</v>
      </c>
      <c r="N96" s="49">
        <v>4</v>
      </c>
      <c r="O96" s="106"/>
      <c r="P96" s="102"/>
      <c r="Q96" s="106"/>
      <c r="R96" s="119"/>
      <c r="S96" s="102"/>
      <c r="T96" s="142"/>
      <c r="U96" s="7"/>
      <c r="V96" s="2"/>
    </row>
    <row r="97" spans="1:22" ht="16.5" customHeight="1" x14ac:dyDescent="0.2">
      <c r="A97" s="6"/>
      <c r="B97" s="240">
        <v>44</v>
      </c>
      <c r="C97" s="110" t="str">
        <f>IF($C$1="Русский","Кочкорская","Kochkorskaya")</f>
        <v>Кочкорская</v>
      </c>
      <c r="D97" s="112" t="s">
        <v>144</v>
      </c>
      <c r="E97" s="107" t="s">
        <v>145</v>
      </c>
      <c r="F97" s="116" t="str">
        <f>IF($C$1="Русский","(№192) р. Чу-с.Кочкорка","No 192 the Chu river - the Kochkorka village")</f>
        <v>(№192) р. Чу-с.Кочкорка</v>
      </c>
      <c r="G97" s="120">
        <v>6</v>
      </c>
      <c r="H97" s="77">
        <v>14.2</v>
      </c>
      <c r="I97" s="108">
        <f>0.8*9.81*G97*H97/0.8</f>
        <v>835.81200000000001</v>
      </c>
      <c r="J97" s="77">
        <v>20.3</v>
      </c>
      <c r="K97" s="92">
        <f>0.8*9.81*G97*J97/0.8</f>
        <v>1194.8580000000002</v>
      </c>
      <c r="L97" s="26" t="str">
        <f>IF($C$1="Русский","Кочкорка","Kochkorka")</f>
        <v>Кочкорка</v>
      </c>
      <c r="M97" s="27" t="s">
        <v>146</v>
      </c>
      <c r="N97" s="38">
        <v>8.5</v>
      </c>
      <c r="O97" s="117" t="str">
        <f>IF($C$1="Русский","существует в 8,5 км от створа","available 8,5 km from the alignment")</f>
        <v>существует в 8,5 км от створа</v>
      </c>
      <c r="P97" s="107" t="str">
        <f>IF($C$1="Русский","в 8,5 км от створа","available 8,5 km from the alignment")</f>
        <v>в 8,5 км от створа</v>
      </c>
      <c r="Q97" s="117" t="str">
        <f>IF($C$1="Русский","существует","available")</f>
        <v>существует</v>
      </c>
      <c r="R97" s="118"/>
      <c r="S97" s="101"/>
      <c r="T97" s="116" t="str">
        <f>IF($C$1="Русский","Малая ГЭС в 11 км от створа; ДЭУ; изолированное электроснабжение","SHPP 11 km from the alignment; RMD; isolated power supply")</f>
        <v>Малая ГЭС в 11 км от створа; ДЭУ; изолированное электроснабжение</v>
      </c>
      <c r="U97" s="7"/>
      <c r="V97" s="2"/>
    </row>
    <row r="98" spans="1:22" ht="15.75" customHeight="1" x14ac:dyDescent="0.2">
      <c r="A98" s="6"/>
      <c r="B98" s="122"/>
      <c r="C98" s="122"/>
      <c r="D98" s="123"/>
      <c r="E98" s="127"/>
      <c r="F98" s="128"/>
      <c r="G98" s="130"/>
      <c r="H98" s="85"/>
      <c r="I98" s="132"/>
      <c r="J98" s="85"/>
      <c r="K98" s="93"/>
      <c r="L98" s="133" t="str">
        <f>IF($C$1="Русский","10 населённых пунктов","10 communities")</f>
        <v>10 населённых пунктов</v>
      </c>
      <c r="M98" s="134" t="s">
        <v>147</v>
      </c>
      <c r="N98" s="136" t="str">
        <f>IF($C$1="Русский","в радиусе 10 км","within a radius of 10 km")</f>
        <v>в радиусе 10 км</v>
      </c>
      <c r="O98" s="125"/>
      <c r="P98" s="127"/>
      <c r="Q98" s="125"/>
      <c r="R98" s="126"/>
      <c r="S98" s="127"/>
      <c r="T98" s="128"/>
      <c r="U98" s="7"/>
      <c r="V98" s="2"/>
    </row>
    <row r="99" spans="1:22" ht="29.25" customHeight="1" x14ac:dyDescent="0.2">
      <c r="A99" s="6"/>
      <c r="B99" s="111"/>
      <c r="C99" s="111"/>
      <c r="D99" s="113"/>
      <c r="E99" s="102"/>
      <c r="F99" s="104"/>
      <c r="G99" s="121"/>
      <c r="H99" s="78"/>
      <c r="I99" s="109"/>
      <c r="J99" s="78"/>
      <c r="K99" s="94"/>
      <c r="L99" s="106"/>
      <c r="M99" s="135"/>
      <c r="N99" s="102"/>
      <c r="O99" s="106"/>
      <c r="P99" s="102"/>
      <c r="Q99" s="106"/>
      <c r="R99" s="119"/>
      <c r="S99" s="102"/>
      <c r="T99" s="104"/>
      <c r="U99" s="7"/>
      <c r="V99" s="2"/>
    </row>
    <row r="100" spans="1:22" ht="15" customHeight="1" x14ac:dyDescent="0.2">
      <c r="A100" s="6"/>
      <c r="B100" s="240">
        <v>45</v>
      </c>
      <c r="C100" s="110" t="str">
        <f>IF($C$1="Русский","Жумгальская","Jumgalskaya")</f>
        <v>Жумгальская</v>
      </c>
      <c r="D100" s="112" t="s">
        <v>148</v>
      </c>
      <c r="E100" s="114" t="s">
        <v>149</v>
      </c>
      <c r="F100" s="116" t="str">
        <f>IF($C$1="Русский","(№32) р. Джумгал-кишл. Чаек","No 32 the Jumgal river - the Chaek village")</f>
        <v>(№32) р. Джумгал-кишл. Чаек</v>
      </c>
      <c r="G100" s="120">
        <v>12</v>
      </c>
      <c r="H100" s="77">
        <v>5.14</v>
      </c>
      <c r="I100" s="108">
        <f>0.8*9.81*G100*H100/0.8</f>
        <v>605.08080000000007</v>
      </c>
      <c r="J100" s="77">
        <v>5.94</v>
      </c>
      <c r="K100" s="92">
        <f>0.8*9.81*G100*J100/0.8</f>
        <v>699.25680000000011</v>
      </c>
      <c r="L100" s="26" t="str">
        <f>IF($C$1="Русский","Чаек","Chaek")</f>
        <v>Чаек</v>
      </c>
      <c r="M100" s="27" t="s">
        <v>150</v>
      </c>
      <c r="N100" s="38">
        <v>3</v>
      </c>
      <c r="O100" s="117" t="str">
        <f>IF($C$1="Русский","существует в 17 км от створа","available 17 km from the alignment")</f>
        <v>существует в 17 км от створа</v>
      </c>
      <c r="P100" s="107" t="str">
        <f>IF($C$1="Русский","в 5 км от створа","available 5 km from the alignment")</f>
        <v>в 5 км от створа</v>
      </c>
      <c r="Q100" s="117" t="str">
        <f>IF($C$1="Русский","существует","available")</f>
        <v>существует</v>
      </c>
      <c r="R100" s="118"/>
      <c r="S100" s="101"/>
      <c r="T100" s="116" t="str">
        <f>IF($C$1="Русский","Распред. подстанции в радиусе 10 км","distribution substations within a radius of 10 km")</f>
        <v>Распред. подстанции в радиусе 10 км</v>
      </c>
      <c r="U100" s="7"/>
      <c r="V100" s="2"/>
    </row>
    <row r="101" spans="1:22" ht="17.25" customHeight="1" x14ac:dyDescent="0.2">
      <c r="A101" s="6"/>
      <c r="B101" s="122"/>
      <c r="C101" s="122"/>
      <c r="D101" s="123"/>
      <c r="E101" s="124"/>
      <c r="F101" s="128"/>
      <c r="G101" s="130"/>
      <c r="H101" s="85"/>
      <c r="I101" s="132"/>
      <c r="J101" s="85"/>
      <c r="K101" s="93"/>
      <c r="L101" s="33" t="str">
        <f>IF($C$1="Русский","Баш-Кууганды","Bash-Kuugandy")</f>
        <v>Баш-Кууганды</v>
      </c>
      <c r="M101" s="64">
        <v>1200</v>
      </c>
      <c r="N101" s="48">
        <v>11</v>
      </c>
      <c r="O101" s="125"/>
      <c r="P101" s="127"/>
      <c r="Q101" s="125"/>
      <c r="R101" s="126"/>
      <c r="S101" s="127"/>
      <c r="T101" s="128"/>
      <c r="U101" s="7"/>
      <c r="V101" s="2"/>
    </row>
    <row r="102" spans="1:22" ht="31.5" customHeight="1" x14ac:dyDescent="0.2">
      <c r="A102" s="6"/>
      <c r="B102" s="111"/>
      <c r="C102" s="111"/>
      <c r="D102" s="113"/>
      <c r="E102" s="115"/>
      <c r="F102" s="104"/>
      <c r="G102" s="121"/>
      <c r="H102" s="78"/>
      <c r="I102" s="109"/>
      <c r="J102" s="78"/>
      <c r="K102" s="94"/>
      <c r="L102" s="8" t="str">
        <f>IF($C$1="Русский","7 посёлков","7 villages")</f>
        <v>7 посёлков</v>
      </c>
      <c r="M102" s="36" t="s">
        <v>151</v>
      </c>
      <c r="N102" s="9" t="str">
        <f>IF($C$1="Русский","в радиусе 10 км","within a radius of 10 km")</f>
        <v>в радиусе 10 км</v>
      </c>
      <c r="O102" s="106"/>
      <c r="P102" s="102"/>
      <c r="Q102" s="106"/>
      <c r="R102" s="119"/>
      <c r="S102" s="102"/>
      <c r="T102" s="104"/>
      <c r="U102" s="7"/>
      <c r="V102" s="2"/>
    </row>
    <row r="103" spans="1:22" ht="30" customHeight="1" x14ac:dyDescent="0.2">
      <c r="A103" s="6"/>
      <c r="B103" s="250">
        <v>46</v>
      </c>
      <c r="C103" s="116" t="str">
        <f>IF($C$1="Русский","Каракол-Суусамырская","Karakol-Suusamyrskaya")</f>
        <v>Каракол-Суусамырская</v>
      </c>
      <c r="D103" s="112" t="s">
        <v>152</v>
      </c>
      <c r="E103" s="114" t="s">
        <v>153</v>
      </c>
      <c r="F103" s="129" t="str">
        <f>IF($C$1="Русский","сумма расходов по постам №30 (р. Каракол-устье) и №27 (р.Кёкёмерен-В 6км выше устья р.Каракол)","the amount of expenses for posts No. 30 (R. Karakol-mouth) and No. 27 (R.Kökemeren-V 6 km upstream of the mouth of the Karakol River)")</f>
        <v>сумма расходов по постам №30 (р. Каракол-устье) и №27 (р.Кёкёмерен-В 6км выше устья р.Каракол)</v>
      </c>
      <c r="G103" s="120">
        <v>11.5</v>
      </c>
      <c r="H103" s="77">
        <f>8.71+5.66</f>
        <v>14.370000000000001</v>
      </c>
      <c r="I103" s="108">
        <f>0.8*9.81*H103*G103/0.8</f>
        <v>1621.15155</v>
      </c>
      <c r="J103" s="77">
        <f>25.8+14.7</f>
        <v>40.5</v>
      </c>
      <c r="K103" s="92">
        <f>0.8*9.81*G103*J103/0.8</f>
        <v>4569.0075000000006</v>
      </c>
      <c r="L103" s="26" t="str">
        <f>IF($C$1="Русский","Восьмое Марта","March 8")</f>
        <v>Восьмое Марта</v>
      </c>
      <c r="M103" s="27" t="s">
        <v>154</v>
      </c>
      <c r="N103" s="38">
        <v>4</v>
      </c>
      <c r="O103" s="117" t="str">
        <f>IF($C$1="Русский","150 кВ в 16 км от створа","150 kV 16 km from the alignment")</f>
        <v>150 кВ в 16 км от створа</v>
      </c>
      <c r="P103" s="107" t="str">
        <f>IF($C$1="Русский","в 5 км от створа","available 5 km from the alignment")</f>
        <v>в 5 км от створа</v>
      </c>
      <c r="Q103" s="117" t="str">
        <f>IF($C$1="Русский","существует","available")</f>
        <v>существует</v>
      </c>
      <c r="R103" s="118"/>
      <c r="S103" s="101"/>
      <c r="T103" s="116" t="str">
        <f>IF($C$1="Русский","ДЭУ, распред. Подстанции, местный аэтопорт","RMD, distr.S/S, local airport")</f>
        <v>ДЭУ, распред. Подстанции, местный аэтопорт</v>
      </c>
      <c r="U103" s="7"/>
      <c r="V103" s="2"/>
    </row>
    <row r="104" spans="1:22" ht="12.75" customHeight="1" x14ac:dyDescent="0.2">
      <c r="A104" s="6"/>
      <c r="B104" s="128"/>
      <c r="C104" s="128"/>
      <c r="D104" s="123"/>
      <c r="E104" s="124"/>
      <c r="F104" s="128"/>
      <c r="G104" s="130"/>
      <c r="H104" s="85"/>
      <c r="I104" s="132"/>
      <c r="J104" s="85"/>
      <c r="K104" s="93"/>
      <c r="L104" s="131" t="str">
        <f>IF($C$1="Русский","Суусамыр","Suusamyr")</f>
        <v>Суусамыр</v>
      </c>
      <c r="M104" s="137" t="s">
        <v>67</v>
      </c>
      <c r="N104" s="139">
        <v>15</v>
      </c>
      <c r="O104" s="125"/>
      <c r="P104" s="127"/>
      <c r="Q104" s="125"/>
      <c r="R104" s="126"/>
      <c r="S104" s="127"/>
      <c r="T104" s="128"/>
      <c r="U104" s="7"/>
      <c r="V104" s="2"/>
    </row>
    <row r="105" spans="1:22" ht="12.75" customHeight="1" x14ac:dyDescent="0.2">
      <c r="A105" s="6"/>
      <c r="B105" s="128"/>
      <c r="C105" s="128"/>
      <c r="D105" s="123"/>
      <c r="E105" s="124"/>
      <c r="F105" s="128"/>
      <c r="G105" s="130"/>
      <c r="H105" s="85"/>
      <c r="I105" s="132"/>
      <c r="J105" s="85"/>
      <c r="K105" s="93"/>
      <c r="L105" s="130"/>
      <c r="M105" s="137"/>
      <c r="N105" s="124"/>
      <c r="O105" s="125"/>
      <c r="P105" s="127"/>
      <c r="Q105" s="125"/>
      <c r="R105" s="126"/>
      <c r="S105" s="127"/>
      <c r="T105" s="128"/>
      <c r="U105" s="7"/>
      <c r="V105" s="2"/>
    </row>
    <row r="106" spans="1:22" ht="8.1" customHeight="1" x14ac:dyDescent="0.2">
      <c r="A106" s="6"/>
      <c r="B106" s="128"/>
      <c r="C106" s="128"/>
      <c r="D106" s="123"/>
      <c r="E106" s="124"/>
      <c r="F106" s="128"/>
      <c r="G106" s="130"/>
      <c r="H106" s="85"/>
      <c r="I106" s="132"/>
      <c r="J106" s="85"/>
      <c r="K106" s="93"/>
      <c r="L106" s="130"/>
      <c r="M106" s="137"/>
      <c r="N106" s="124"/>
      <c r="O106" s="125"/>
      <c r="P106" s="127"/>
      <c r="Q106" s="125"/>
      <c r="R106" s="126"/>
      <c r="S106" s="127"/>
      <c r="T106" s="128"/>
      <c r="U106" s="7"/>
      <c r="V106" s="2"/>
    </row>
    <row r="107" spans="1:22" ht="15" customHeight="1" x14ac:dyDescent="0.2">
      <c r="A107" s="6"/>
      <c r="B107" s="128"/>
      <c r="C107" s="128"/>
      <c r="D107" s="123"/>
      <c r="E107" s="124"/>
      <c r="F107" s="128"/>
      <c r="G107" s="130"/>
      <c r="H107" s="85"/>
      <c r="I107" s="132"/>
      <c r="J107" s="85"/>
      <c r="K107" s="93"/>
      <c r="L107" s="130"/>
      <c r="M107" s="137"/>
      <c r="N107" s="124"/>
      <c r="O107" s="125"/>
      <c r="P107" s="127"/>
      <c r="Q107" s="125"/>
      <c r="R107" s="126"/>
      <c r="S107" s="127"/>
      <c r="T107" s="128"/>
      <c r="U107" s="7"/>
      <c r="V107" s="2"/>
    </row>
    <row r="108" spans="1:22" ht="33" customHeight="1" x14ac:dyDescent="0.2">
      <c r="A108" s="6"/>
      <c r="B108" s="104"/>
      <c r="C108" s="104"/>
      <c r="D108" s="113"/>
      <c r="E108" s="115"/>
      <c r="F108" s="104"/>
      <c r="G108" s="121"/>
      <c r="H108" s="78"/>
      <c r="I108" s="109"/>
      <c r="J108" s="78"/>
      <c r="K108" s="94"/>
      <c r="L108" s="121"/>
      <c r="M108" s="138"/>
      <c r="N108" s="115"/>
      <c r="O108" s="106"/>
      <c r="P108" s="102"/>
      <c r="Q108" s="106"/>
      <c r="R108" s="119"/>
      <c r="S108" s="102"/>
      <c r="T108" s="104"/>
      <c r="U108" s="7"/>
      <c r="V108" s="2"/>
    </row>
    <row r="109" spans="1:22" ht="17.25" customHeight="1" x14ac:dyDescent="0.2">
      <c r="A109" s="6"/>
      <c r="B109" s="240">
        <v>47</v>
      </c>
      <c r="C109" s="110" t="str">
        <f>IF($C$1="Русский","Коштебинская","Koshtebinskaya")</f>
        <v>Коштебинская</v>
      </c>
      <c r="D109" s="112" t="s">
        <v>155</v>
      </c>
      <c r="E109" s="114" t="s">
        <v>156</v>
      </c>
      <c r="F109" s="116" t="str">
        <f>IF($C$1="Русский","(№25) р. Алабуга-кишл. Коштобе","No 25 the Alabuga river - the Koshtobe village")</f>
        <v>(№25) р. Алабуга-кишл. Коштобе</v>
      </c>
      <c r="G109" s="120">
        <v>6</v>
      </c>
      <c r="H109" s="77">
        <v>9.43</v>
      </c>
      <c r="I109" s="108">
        <f>0.8*9.81*G109*H109/0.8</f>
        <v>555.04980000000012</v>
      </c>
      <c r="J109" s="77">
        <v>19.5</v>
      </c>
      <c r="K109" s="92">
        <f>0.8*9.81*G109*J109/0.8</f>
        <v>1147.77</v>
      </c>
      <c r="L109" s="26" t="str">
        <f>IF($C$1="Русский","Осоавиахим","Osoavakhim")</f>
        <v>Осоавиахим</v>
      </c>
      <c r="M109" s="27" t="s">
        <v>157</v>
      </c>
      <c r="N109" s="38">
        <v>3</v>
      </c>
      <c r="O109" s="105"/>
      <c r="P109" s="107" t="str">
        <f>IF($C$1="Русский","в 1,5 км от створа","available 1,5 km from the alignment")</f>
        <v>в 1,5 км от створа</v>
      </c>
      <c r="Q109" s="105"/>
      <c r="R109" s="118"/>
      <c r="S109" s="107" t="str">
        <f>IF($C$1="Русский","в 1,5 км от створа","1.5 km from the alignment")</f>
        <v>в 1,5 км от створа</v>
      </c>
      <c r="T109" s="103"/>
      <c r="U109" s="7"/>
      <c r="V109" s="2"/>
    </row>
    <row r="110" spans="1:22" ht="50.25" customHeight="1" x14ac:dyDescent="0.2">
      <c r="A110" s="6"/>
      <c r="B110" s="111"/>
      <c r="C110" s="111"/>
      <c r="D110" s="113"/>
      <c r="E110" s="115"/>
      <c r="F110" s="104"/>
      <c r="G110" s="121"/>
      <c r="H110" s="78"/>
      <c r="I110" s="109"/>
      <c r="J110" s="78"/>
      <c r="K110" s="94"/>
      <c r="L110" s="8" t="str">
        <f>IF($C$1="Русский","2 посёлка","2 villages")</f>
        <v>2 посёлка</v>
      </c>
      <c r="M110" s="36" t="s">
        <v>158</v>
      </c>
      <c r="N110" s="9" t="str">
        <f>IF($C$1="Русский","в радиусе 10 км","within a radius of 10 km")</f>
        <v>в радиусе 10 км</v>
      </c>
      <c r="O110" s="106"/>
      <c r="P110" s="102"/>
      <c r="Q110" s="106"/>
      <c r="R110" s="119"/>
      <c r="S110" s="102"/>
      <c r="T110" s="104"/>
      <c r="U110" s="7"/>
      <c r="V110" s="2"/>
    </row>
    <row r="111" spans="1:22" ht="17.25" customHeight="1" x14ac:dyDescent="0.2">
      <c r="A111" s="6"/>
      <c r="B111" s="240">
        <v>48</v>
      </c>
      <c r="C111" s="110" t="str">
        <f>IF($C$1="Русский","Карабулунская","Karabulunskaya")</f>
        <v>Карабулунская</v>
      </c>
      <c r="D111" s="112" t="s">
        <v>159</v>
      </c>
      <c r="E111" s="114" t="s">
        <v>160</v>
      </c>
      <c r="F111" s="116" t="str">
        <f>IF($C$1="Русский","(№4) р. Нарын-Устье р.Кёкирим","No 4 the Naryn river - the mouth of Kokerim river")</f>
        <v>(№4) р. Нарын-Устье р.Кёкирим</v>
      </c>
      <c r="G111" s="120">
        <v>4</v>
      </c>
      <c r="H111" s="77">
        <v>69.2</v>
      </c>
      <c r="I111" s="108">
        <f>0.8*9.81*G111*H111/0.8</f>
        <v>2715.4080000000004</v>
      </c>
      <c r="J111" s="77">
        <v>151</v>
      </c>
      <c r="K111" s="92">
        <f>0.8*9.81*G111*J111/0.8</f>
        <v>5925.24</v>
      </c>
      <c r="L111" s="26" t="str">
        <f>IF($C$1="Русский","Казарман","Kazarman")</f>
        <v>Казарман</v>
      </c>
      <c r="M111" s="27" t="s">
        <v>161</v>
      </c>
      <c r="N111" s="38">
        <v>9.5</v>
      </c>
      <c r="O111" s="105"/>
      <c r="P111" s="107" t="str">
        <f>IF($C$1="Русский","существует","available")</f>
        <v>существует</v>
      </c>
      <c r="Q111" s="117" t="str">
        <f>IF($C$1="Русский","существует","available")</f>
        <v>существует</v>
      </c>
      <c r="R111" s="118"/>
      <c r="S111" s="101"/>
      <c r="T111" s="103"/>
      <c r="U111" s="7"/>
      <c r="V111" s="2"/>
    </row>
    <row r="112" spans="1:22" ht="35.25" customHeight="1" x14ac:dyDescent="0.2">
      <c r="A112" s="6"/>
      <c r="B112" s="111"/>
      <c r="C112" s="111"/>
      <c r="D112" s="113"/>
      <c r="E112" s="115"/>
      <c r="F112" s="104"/>
      <c r="G112" s="121"/>
      <c r="H112" s="78"/>
      <c r="I112" s="109"/>
      <c r="J112" s="78"/>
      <c r="K112" s="94"/>
      <c r="L112" s="8" t="str">
        <f>IF($C$1="Русский","6 посёлков","6 villages")</f>
        <v>6 посёлков</v>
      </c>
      <c r="M112" s="36" t="s">
        <v>162</v>
      </c>
      <c r="N112" s="9" t="str">
        <f>IF($C$1="Русский","в радиусе 10 км","within a radius of 10 km")</f>
        <v>в радиусе 10 км</v>
      </c>
      <c r="O112" s="106"/>
      <c r="P112" s="102"/>
      <c r="Q112" s="106"/>
      <c r="R112" s="119"/>
      <c r="S112" s="102"/>
      <c r="T112" s="104"/>
      <c r="U112" s="7"/>
      <c r="V112" s="2"/>
    </row>
    <row r="113" spans="1:22" ht="30" customHeight="1" x14ac:dyDescent="0.2">
      <c r="A113" s="6"/>
      <c r="B113" s="241">
        <v>49</v>
      </c>
      <c r="C113" s="112" t="str">
        <f>IF($C$1="Русский","Он-Арчинская-1","On-Archinskaya-1")</f>
        <v>Он-Арчинская-1</v>
      </c>
      <c r="D113" s="200" t="s">
        <v>163</v>
      </c>
      <c r="E113" s="114" t="s">
        <v>164</v>
      </c>
      <c r="F113" s="116" t="str">
        <f>IF($C$1="Русский","(№12) р. Онарча-кишл.Онарча ниже устья р.Оттук","No 12 the Onarcha river - the Onarcha village down the mouth of Ottuk river")</f>
        <v>(№12) р. Онарча-кишл.Онарча ниже устья р.Оттук</v>
      </c>
      <c r="G113" s="120">
        <v>14</v>
      </c>
      <c r="H113" s="77">
        <v>2.5299999999999998</v>
      </c>
      <c r="I113" s="108">
        <f>0.8*9.81*G113*H113/0.8</f>
        <v>347.47019999999998</v>
      </c>
      <c r="J113" s="77">
        <v>4.78</v>
      </c>
      <c r="K113" s="92">
        <f>0.8*9.81*G113*J113/0.8</f>
        <v>656.48519999999996</v>
      </c>
      <c r="L113" s="26" t="str">
        <f>IF($C$1="Русский","Мин-Булак","Min-Bulak")</f>
        <v>Мин-Булак</v>
      </c>
      <c r="M113" s="27" t="s">
        <v>165</v>
      </c>
      <c r="N113" s="22" t="str">
        <f>IF($C$1="Русский","1 (от 2-го створа)","1 (from the 2nd alignment)")</f>
        <v>1 (от 2-го створа)</v>
      </c>
      <c r="O113" s="105"/>
      <c r="P113" s="107" t="str">
        <f>IF($C$1="Русский","существует","available")</f>
        <v>существует</v>
      </c>
      <c r="Q113" s="117" t="str">
        <f>IF($C$1="Русский","существует в 1 км от створов","available 1 km from the alignments")</f>
        <v>существует в 1 км от створов</v>
      </c>
      <c r="R113" s="118"/>
      <c r="S113" s="107" t="str">
        <f>IF($C$1="Русский","просёлочная","country road")</f>
        <v>просёлочная</v>
      </c>
      <c r="T113" s="116" t="str">
        <f>IF($C$1="Русский","Малая ГЭС","Small HPP")</f>
        <v>Малая ГЭС</v>
      </c>
      <c r="U113" s="7"/>
      <c r="V113" s="2"/>
    </row>
    <row r="114" spans="1:22" ht="30.75" customHeight="1" x14ac:dyDescent="0.2">
      <c r="A114" s="6"/>
      <c r="B114" s="150"/>
      <c r="C114" s="123"/>
      <c r="D114" s="201"/>
      <c r="E114" s="124"/>
      <c r="F114" s="128"/>
      <c r="G114" s="130"/>
      <c r="H114" s="85"/>
      <c r="I114" s="132"/>
      <c r="J114" s="85"/>
      <c r="K114" s="93"/>
      <c r="L114" s="33" t="str">
        <f>IF($C$1="Русский","им. Куйбышева","im.Kuibysheva")</f>
        <v>им. Куйбышева</v>
      </c>
      <c r="M114" s="34" t="s">
        <v>166</v>
      </c>
      <c r="N114" s="32" t="str">
        <f>IF($C$1="Русский","1 (от 1-го створа)","1 (from the 1st alignment)")</f>
        <v>1 (от 1-го створа)</v>
      </c>
      <c r="O114" s="125"/>
      <c r="P114" s="127"/>
      <c r="Q114" s="125"/>
      <c r="R114" s="126"/>
      <c r="S114" s="127"/>
      <c r="T114" s="128"/>
      <c r="U114" s="7"/>
      <c r="V114" s="2"/>
    </row>
    <row r="115" spans="1:22" ht="12.75" customHeight="1" x14ac:dyDescent="0.2">
      <c r="A115" s="6"/>
      <c r="B115" s="150"/>
      <c r="C115" s="123"/>
      <c r="D115" s="201"/>
      <c r="E115" s="124"/>
      <c r="F115" s="128"/>
      <c r="G115" s="130"/>
      <c r="H115" s="85"/>
      <c r="I115" s="132"/>
      <c r="J115" s="85"/>
      <c r="K115" s="93"/>
      <c r="L115" s="133" t="str">
        <f>IF($C$1="Русский","9 посёлков","9 villages")</f>
        <v>9 посёлков</v>
      </c>
      <c r="M115" s="134" t="s">
        <v>167</v>
      </c>
      <c r="N115" s="136" t="str">
        <f>IF($C$1="Русский","в радиусе 15 км","within a radius of 15 km")</f>
        <v>в радиусе 15 км</v>
      </c>
      <c r="O115" s="125"/>
      <c r="P115" s="127"/>
      <c r="Q115" s="125"/>
      <c r="R115" s="126"/>
      <c r="S115" s="127"/>
      <c r="T115" s="128"/>
      <c r="U115" s="7"/>
      <c r="V115" s="2"/>
    </row>
    <row r="116" spans="1:22" ht="12.75" customHeight="1" x14ac:dyDescent="0.2">
      <c r="A116" s="6"/>
      <c r="B116" s="244">
        <v>50</v>
      </c>
      <c r="C116" s="146" t="str">
        <f>IF($C$1="Русский","Он-Арчинская-2","On-Archinskaya-2")</f>
        <v>Он-Арчинская-2</v>
      </c>
      <c r="D116" s="137" t="s">
        <v>168</v>
      </c>
      <c r="E116" s="143" t="s">
        <v>169</v>
      </c>
      <c r="F116" s="128"/>
      <c r="G116" s="130"/>
      <c r="H116" s="85"/>
      <c r="I116" s="132"/>
      <c r="J116" s="85"/>
      <c r="K116" s="93"/>
      <c r="L116" s="125"/>
      <c r="M116" s="176"/>
      <c r="N116" s="127"/>
      <c r="O116" s="125"/>
      <c r="P116" s="127"/>
      <c r="Q116" s="125"/>
      <c r="R116" s="126"/>
      <c r="S116" s="127"/>
      <c r="T116" s="128"/>
      <c r="U116" s="7"/>
      <c r="V116" s="2"/>
    </row>
    <row r="117" spans="1:22" ht="44.25" customHeight="1" x14ac:dyDescent="0.2">
      <c r="A117" s="6"/>
      <c r="B117" s="145"/>
      <c r="C117" s="113"/>
      <c r="D117" s="178"/>
      <c r="E117" s="115"/>
      <c r="F117" s="104"/>
      <c r="G117" s="121"/>
      <c r="H117" s="78"/>
      <c r="I117" s="109"/>
      <c r="J117" s="78"/>
      <c r="K117" s="94"/>
      <c r="L117" s="106"/>
      <c r="M117" s="135"/>
      <c r="N117" s="102"/>
      <c r="O117" s="106"/>
      <c r="P117" s="102"/>
      <c r="Q117" s="106"/>
      <c r="R117" s="119"/>
      <c r="S117" s="102"/>
      <c r="T117" s="104"/>
      <c r="U117" s="7"/>
      <c r="V117" s="2"/>
    </row>
    <row r="118" spans="1:22" ht="30" customHeight="1" x14ac:dyDescent="0.2">
      <c r="A118" s="6"/>
      <c r="B118" s="240">
        <v>51</v>
      </c>
      <c r="C118" s="110" t="str">
        <f>IF($C$1="Русский","Кок-Жартыйская","Kok-Jartyiskaya")</f>
        <v>Кок-Жартыйская</v>
      </c>
      <c r="D118" s="112" t="s">
        <v>170</v>
      </c>
      <c r="E118" s="114" t="s">
        <v>171</v>
      </c>
      <c r="F118" s="116" t="str">
        <f>IF($C$1="Русский","(№14) р. Кёкджерты-х.Актала","No 14 the Kokjerti river - Aktala")</f>
        <v>(№14) р. Кёкджерты-х.Актала</v>
      </c>
      <c r="G118" s="120">
        <v>14</v>
      </c>
      <c r="H118" s="95">
        <v>1.17</v>
      </c>
      <c r="I118" s="108">
        <f>0.8*9.81*G118*H118/0.8</f>
        <v>160.68779999999998</v>
      </c>
      <c r="J118" s="95">
        <v>1.56</v>
      </c>
      <c r="K118" s="92">
        <f>0.8*9.81*G118*J118/0.8</f>
        <v>214.25040000000001</v>
      </c>
      <c r="L118" s="26" t="str">
        <f>IF($C$1="Русский","Джан-Булак","Djan-Bulak")</f>
        <v>Джан-Булак</v>
      </c>
      <c r="M118" s="27" t="s">
        <v>172</v>
      </c>
      <c r="N118" s="38">
        <v>7</v>
      </c>
      <c r="O118" s="105"/>
      <c r="P118" s="107" t="str">
        <f>IF($C$1="Русский","в 5 км от створа","available 5 km from the alignment")</f>
        <v>в 5 км от створа</v>
      </c>
      <c r="Q118" s="117" t="str">
        <f>IF($C$1="Русский","существует в 4 км от створа","available 4 km from the alignment")</f>
        <v>существует в 4 км от створа</v>
      </c>
      <c r="R118" s="168" t="str">
        <f>IF($C$1="Русский","существует","available")</f>
        <v>существует</v>
      </c>
      <c r="S118" s="101"/>
      <c r="T118" s="103"/>
      <c r="U118" s="7"/>
      <c r="V118" s="2"/>
    </row>
    <row r="119" spans="1:22" ht="23.25" customHeight="1" x14ac:dyDescent="0.2">
      <c r="A119" s="6"/>
      <c r="B119" s="122"/>
      <c r="C119" s="122"/>
      <c r="D119" s="123"/>
      <c r="E119" s="124"/>
      <c r="F119" s="128"/>
      <c r="G119" s="130"/>
      <c r="H119" s="96"/>
      <c r="I119" s="132"/>
      <c r="J119" s="96"/>
      <c r="K119" s="93"/>
      <c r="L119" s="133" t="str">
        <f>IF($C$1="Русский","5 посёлков","5 villages")</f>
        <v>5 посёлков</v>
      </c>
      <c r="M119" s="134" t="s">
        <v>173</v>
      </c>
      <c r="N119" s="136" t="str">
        <f>IF($C$1="Русский","в радиусе 10 км","within a radius of 10 km")</f>
        <v>в радиусе 10 км</v>
      </c>
      <c r="O119" s="125"/>
      <c r="P119" s="127"/>
      <c r="Q119" s="125"/>
      <c r="R119" s="126"/>
      <c r="S119" s="127"/>
      <c r="T119" s="128"/>
      <c r="U119" s="7"/>
      <c r="V119" s="2"/>
    </row>
    <row r="120" spans="1:22" ht="21" customHeight="1" x14ac:dyDescent="0.2">
      <c r="A120" s="6"/>
      <c r="B120" s="111"/>
      <c r="C120" s="111"/>
      <c r="D120" s="113"/>
      <c r="E120" s="115"/>
      <c r="F120" s="104"/>
      <c r="G120" s="121"/>
      <c r="H120" s="97"/>
      <c r="I120" s="109"/>
      <c r="J120" s="97"/>
      <c r="K120" s="94"/>
      <c r="L120" s="106"/>
      <c r="M120" s="135"/>
      <c r="N120" s="102"/>
      <c r="O120" s="106"/>
      <c r="P120" s="102"/>
      <c r="Q120" s="106"/>
      <c r="R120" s="119"/>
      <c r="S120" s="102"/>
      <c r="T120" s="104"/>
      <c r="U120" s="7"/>
      <c r="V120" s="2"/>
    </row>
    <row r="121" spans="1:22" ht="32.25" customHeight="1" x14ac:dyDescent="0.2">
      <c r="A121" s="6"/>
      <c r="B121" s="241">
        <v>52</v>
      </c>
      <c r="C121" s="112" t="str">
        <f>IF($C$1="Русский","Каракоюнская-1","Karakoyunskaya-1")</f>
        <v>Каракоюнская-1</v>
      </c>
      <c r="D121" s="200" t="s">
        <v>174</v>
      </c>
      <c r="E121" s="114" t="s">
        <v>175</v>
      </c>
      <c r="F121" s="116" t="str">
        <f>IF($C$1="Русский","(№20) р. Каракоин - не действующий","(№20) Karakoin river - inactive")</f>
        <v>(№20) р. Каракоин - не действующий</v>
      </c>
      <c r="G121" s="120">
        <v>15</v>
      </c>
      <c r="H121" s="82" t="str">
        <f>IF($C$1="Русский","(№20) р. Каракоин - не действующий","(№20) Karakoin river - inactive")</f>
        <v>(№20) р. Каракоин - не действующий</v>
      </c>
      <c r="I121" s="206"/>
      <c r="J121" s="187"/>
      <c r="K121" s="181"/>
      <c r="L121" s="26" t="str">
        <f>IF($C$1="Русский","Кара-Булун","Kara-Bulun")</f>
        <v>Кара-Булун</v>
      </c>
      <c r="M121" s="27" t="s">
        <v>176</v>
      </c>
      <c r="N121" s="22" t="str">
        <f>IF($C$1="Русский","2 км от 2-го створа","2 km from the 2nd alignment")</f>
        <v>2 км от 2-го створа</v>
      </c>
      <c r="O121" s="105"/>
      <c r="P121" s="107" t="str">
        <f>IF($C$1="Русский","существует","available")</f>
        <v>существует</v>
      </c>
      <c r="Q121" s="117" t="str">
        <f>IF($C$1="Русский","существует в 2,5 км от створов","available 2,5 km from the alignments")</f>
        <v>существует в 2,5 км от створов</v>
      </c>
      <c r="R121" s="118"/>
      <c r="S121" s="107" t="str">
        <f>IF($C$1="Русский","существует","available")</f>
        <v>существует</v>
      </c>
      <c r="T121" s="103"/>
      <c r="U121" s="7"/>
      <c r="V121" s="2"/>
    </row>
    <row r="122" spans="1:22" ht="19.5" customHeight="1" x14ac:dyDescent="0.2">
      <c r="A122" s="6"/>
      <c r="B122" s="150"/>
      <c r="C122" s="123"/>
      <c r="D122" s="201"/>
      <c r="E122" s="124"/>
      <c r="F122" s="128"/>
      <c r="G122" s="130"/>
      <c r="H122" s="96"/>
      <c r="I122" s="207"/>
      <c r="J122" s="96"/>
      <c r="K122" s="182"/>
      <c r="L122" s="131" t="str">
        <f>IF($C$1="Русский","Ак-Талаа","Ak-Talaa")</f>
        <v>Ак-Талаа</v>
      </c>
      <c r="M122" s="137" t="s">
        <v>177</v>
      </c>
      <c r="N122" s="143" t="str">
        <f>IF($C$1="Русский","2,5 км от 3-го створа","2.5 km from the 3rd alignment")</f>
        <v>2,5 км от 3-го створа</v>
      </c>
      <c r="O122" s="125"/>
      <c r="P122" s="127"/>
      <c r="Q122" s="125"/>
      <c r="R122" s="126"/>
      <c r="S122" s="127"/>
      <c r="T122" s="128"/>
      <c r="U122" s="7"/>
      <c r="V122" s="2"/>
    </row>
    <row r="123" spans="1:22" ht="49.5" customHeight="1" x14ac:dyDescent="0.2">
      <c r="A123" s="6"/>
      <c r="B123" s="29">
        <v>53</v>
      </c>
      <c r="C123" s="31" t="str">
        <f>IF($C$1="Русский","Каракоюнская-2","Karakoyunskaya-2")</f>
        <v>Каракоюнская-2</v>
      </c>
      <c r="D123" s="34" t="s">
        <v>178</v>
      </c>
      <c r="E123" s="32" t="s">
        <v>179</v>
      </c>
      <c r="F123" s="128"/>
      <c r="G123" s="130"/>
      <c r="H123" s="96"/>
      <c r="I123" s="207"/>
      <c r="J123" s="96"/>
      <c r="K123" s="182"/>
      <c r="L123" s="130"/>
      <c r="M123" s="137"/>
      <c r="N123" s="124"/>
      <c r="O123" s="125"/>
      <c r="P123" s="127"/>
      <c r="Q123" s="125"/>
      <c r="R123" s="126"/>
      <c r="S123" s="127"/>
      <c r="T123" s="128"/>
      <c r="U123" s="7"/>
      <c r="V123" s="2"/>
    </row>
    <row r="124" spans="1:22" ht="33.75" customHeight="1" x14ac:dyDescent="0.2">
      <c r="A124" s="6"/>
      <c r="B124" s="244">
        <v>54</v>
      </c>
      <c r="C124" s="146" t="str">
        <f>IF($C$1="Русский","Каракоюнская-3","Karakoyunskaya-3")</f>
        <v>Каракоюнская-3</v>
      </c>
      <c r="D124" s="137" t="s">
        <v>180</v>
      </c>
      <c r="E124" s="143" t="s">
        <v>181</v>
      </c>
      <c r="F124" s="128"/>
      <c r="G124" s="130"/>
      <c r="H124" s="96"/>
      <c r="I124" s="207"/>
      <c r="J124" s="96"/>
      <c r="K124" s="182"/>
      <c r="L124" s="33" t="str">
        <f>IF($C$1="Русский","Кызыл-Туу","Kyzyl-Tuu")</f>
        <v>Кызыл-Туу</v>
      </c>
      <c r="M124" s="39" t="s">
        <v>182</v>
      </c>
      <c r="N124" s="32" t="str">
        <f>IF($C$1="Русский","2,5 км от 3-го створа","2.5 km from the 3rd alignment")</f>
        <v>2,5 км от 3-го створа</v>
      </c>
      <c r="O124" s="125"/>
      <c r="P124" s="127"/>
      <c r="Q124" s="125"/>
      <c r="R124" s="126"/>
      <c r="S124" s="127"/>
      <c r="T124" s="128"/>
      <c r="U124" s="7"/>
      <c r="V124" s="2"/>
    </row>
    <row r="125" spans="1:22" ht="33" customHeight="1" x14ac:dyDescent="0.2">
      <c r="A125" s="6"/>
      <c r="B125" s="145"/>
      <c r="C125" s="113"/>
      <c r="D125" s="178"/>
      <c r="E125" s="115"/>
      <c r="F125" s="104"/>
      <c r="G125" s="121"/>
      <c r="H125" s="97"/>
      <c r="I125" s="208"/>
      <c r="J125" s="97"/>
      <c r="K125" s="183"/>
      <c r="L125" s="8" t="str">
        <f>IF($C$1="Русский","3 посёлка","3 villages")</f>
        <v>3 посёлка</v>
      </c>
      <c r="M125" s="36" t="s">
        <v>183</v>
      </c>
      <c r="N125" s="9" t="str">
        <f>IF($C$1="Русский","в радиусе 10 км","within a radius of 10 km")</f>
        <v>в радиусе 10 км</v>
      </c>
      <c r="O125" s="106"/>
      <c r="P125" s="102"/>
      <c r="Q125" s="106"/>
      <c r="R125" s="119"/>
      <c r="S125" s="102"/>
      <c r="T125" s="104"/>
      <c r="U125" s="7"/>
      <c r="V125" s="2"/>
    </row>
    <row r="126" spans="1:22" ht="45" customHeight="1" x14ac:dyDescent="0.2">
      <c r="A126" s="6"/>
      <c r="B126" s="241">
        <v>55</v>
      </c>
      <c r="C126" s="112" t="str">
        <f>IF($C$1="Русский","Ат-Башинская-1","At-Bashinskaya-1")</f>
        <v>Ат-Башинская-1</v>
      </c>
      <c r="D126" s="200" t="s">
        <v>184</v>
      </c>
      <c r="E126" s="114" t="s">
        <v>185</v>
      </c>
      <c r="F126" s="116" t="str">
        <f>IF($C$1="Русский","(№15) р. Атбаши-Устье р. Ача-Команды","No 15 the Atbashy river - the mouth of Acha-Komandy river")</f>
        <v>(№15) р. Атбаши-Устье р. Ача-Команды</v>
      </c>
      <c r="G126" s="120">
        <v>6</v>
      </c>
      <c r="H126" s="77">
        <v>4.83</v>
      </c>
      <c r="I126" s="108">
        <f>0.8*9.81*G126*H126/0.8</f>
        <v>284.29380000000003</v>
      </c>
      <c r="J126" s="77">
        <v>10.7</v>
      </c>
      <c r="K126" s="92">
        <f>0.8*9.81*G126*J126/0.8</f>
        <v>629.80200000000002</v>
      </c>
      <c r="L126" s="26" t="str">
        <f>IF($C$1="Русский","Атбаши","At-Bashy")</f>
        <v>Атбаши</v>
      </c>
      <c r="M126" s="27" t="s">
        <v>186</v>
      </c>
      <c r="N126" s="22" t="str">
        <f>IF($C$1="Русский","9 (от наиболее удалённого створа)","9 (from the most distant alignment)")</f>
        <v>9 (от наиболее удалённого створа)</v>
      </c>
      <c r="O126" s="105"/>
      <c r="P126" s="107" t="str">
        <f>IF($C$1="Русский","в 10 км от наиболее удаленного створа","available 10 km from the farest alignment")</f>
        <v>в 10 км от наиболее удаленного створа</v>
      </c>
      <c r="Q126" s="117" t="str">
        <f>IF($C$1="Русский","в 4,5 км от наиболее удалённого створа","4.5 km from the most remote alignment")</f>
        <v>в 4,5 км от наиболее удалённого створа</v>
      </c>
      <c r="R126" s="118"/>
      <c r="S126" s="107" t="str">
        <f>IF($C$1="Русский","просёлочная (полевая)","country (field) road")</f>
        <v>просёлочная (полевая)</v>
      </c>
      <c r="T126" s="116" t="str">
        <f>IF($C$1="Русский","Распределительная подстанция","Distribution substation")</f>
        <v>Распределительная подстанция</v>
      </c>
      <c r="U126" s="7"/>
      <c r="V126" s="2"/>
    </row>
    <row r="127" spans="1:22" ht="12.75" customHeight="1" x14ac:dyDescent="0.2">
      <c r="A127" s="6"/>
      <c r="B127" s="150"/>
      <c r="C127" s="123"/>
      <c r="D127" s="201"/>
      <c r="E127" s="124"/>
      <c r="F127" s="128"/>
      <c r="G127" s="130"/>
      <c r="H127" s="85"/>
      <c r="I127" s="132"/>
      <c r="J127" s="85"/>
      <c r="K127" s="93"/>
      <c r="L127" s="131" t="str">
        <f>IF($C$1="Русский","6 населённых пунктов","6 communities")</f>
        <v>6 населённых пунктов</v>
      </c>
      <c r="M127" s="137" t="s">
        <v>187</v>
      </c>
      <c r="N127" s="143" t="str">
        <f>IF($C$1="Русский","в радиусе 20 км","within a radius of 20 km")</f>
        <v>в радиусе 20 км</v>
      </c>
      <c r="O127" s="125"/>
      <c r="P127" s="127"/>
      <c r="Q127" s="125"/>
      <c r="R127" s="126"/>
      <c r="S127" s="127"/>
      <c r="T127" s="128"/>
      <c r="U127" s="7"/>
      <c r="V127" s="2"/>
    </row>
    <row r="128" spans="1:22" ht="12.75" customHeight="1" x14ac:dyDescent="0.2">
      <c r="A128" s="6"/>
      <c r="B128" s="150"/>
      <c r="C128" s="123"/>
      <c r="D128" s="201"/>
      <c r="E128" s="124"/>
      <c r="F128" s="128"/>
      <c r="G128" s="130"/>
      <c r="H128" s="85"/>
      <c r="I128" s="132"/>
      <c r="J128" s="85"/>
      <c r="K128" s="93"/>
      <c r="L128" s="130"/>
      <c r="M128" s="137"/>
      <c r="N128" s="124"/>
      <c r="O128" s="125"/>
      <c r="P128" s="127"/>
      <c r="Q128" s="125"/>
      <c r="R128" s="126"/>
      <c r="S128" s="127"/>
      <c r="T128" s="128"/>
      <c r="U128" s="7"/>
      <c r="V128" s="2"/>
    </row>
    <row r="129" spans="1:22" ht="8.1" customHeight="1" x14ac:dyDescent="0.2">
      <c r="A129" s="6"/>
      <c r="B129" s="150"/>
      <c r="C129" s="123"/>
      <c r="D129" s="201"/>
      <c r="E129" s="124"/>
      <c r="F129" s="128"/>
      <c r="G129" s="130"/>
      <c r="H129" s="85"/>
      <c r="I129" s="132"/>
      <c r="J129" s="85"/>
      <c r="K129" s="93"/>
      <c r="L129" s="130"/>
      <c r="M129" s="137"/>
      <c r="N129" s="124"/>
      <c r="O129" s="125"/>
      <c r="P129" s="127"/>
      <c r="Q129" s="125"/>
      <c r="R129" s="126"/>
      <c r="S129" s="127"/>
      <c r="T129" s="128"/>
      <c r="U129" s="7"/>
      <c r="V129" s="2"/>
    </row>
    <row r="130" spans="1:22" ht="15" customHeight="1" x14ac:dyDescent="0.2">
      <c r="A130" s="6"/>
      <c r="B130" s="150"/>
      <c r="C130" s="123"/>
      <c r="D130" s="201"/>
      <c r="E130" s="124"/>
      <c r="F130" s="128"/>
      <c r="G130" s="130"/>
      <c r="H130" s="85"/>
      <c r="I130" s="132"/>
      <c r="J130" s="85"/>
      <c r="K130" s="93"/>
      <c r="L130" s="130"/>
      <c r="M130" s="137"/>
      <c r="N130" s="124"/>
      <c r="O130" s="125"/>
      <c r="P130" s="127"/>
      <c r="Q130" s="125"/>
      <c r="R130" s="126"/>
      <c r="S130" s="127"/>
      <c r="T130" s="128"/>
      <c r="U130" s="7"/>
      <c r="V130" s="2"/>
    </row>
    <row r="131" spans="1:22" ht="10.5" customHeight="1" x14ac:dyDescent="0.2">
      <c r="A131" s="6"/>
      <c r="B131" s="150"/>
      <c r="C131" s="123"/>
      <c r="D131" s="201"/>
      <c r="E131" s="124"/>
      <c r="F131" s="128"/>
      <c r="G131" s="130"/>
      <c r="H131" s="85"/>
      <c r="I131" s="132"/>
      <c r="J131" s="85"/>
      <c r="K131" s="93"/>
      <c r="L131" s="130"/>
      <c r="M131" s="137"/>
      <c r="N131" s="124"/>
      <c r="O131" s="125"/>
      <c r="P131" s="127"/>
      <c r="Q131" s="125"/>
      <c r="R131" s="126"/>
      <c r="S131" s="127"/>
      <c r="T131" s="128"/>
      <c r="U131" s="7"/>
      <c r="V131" s="2"/>
    </row>
    <row r="132" spans="1:22" ht="12.75" customHeight="1" x14ac:dyDescent="0.2">
      <c r="A132" s="6"/>
      <c r="B132" s="244">
        <v>56</v>
      </c>
      <c r="C132" s="146" t="str">
        <f>IF($C$1="Русский","Ат-Башинская-2","At-Bashinskaya-2")</f>
        <v>Ат-Башинская-2</v>
      </c>
      <c r="D132" s="137" t="s">
        <v>188</v>
      </c>
      <c r="E132" s="143" t="s">
        <v>189</v>
      </c>
      <c r="F132" s="128"/>
      <c r="G132" s="130"/>
      <c r="H132" s="85"/>
      <c r="I132" s="132"/>
      <c r="J132" s="85"/>
      <c r="K132" s="93"/>
      <c r="L132" s="130"/>
      <c r="M132" s="137"/>
      <c r="N132" s="124"/>
      <c r="O132" s="125"/>
      <c r="P132" s="127"/>
      <c r="Q132" s="125"/>
      <c r="R132" s="126"/>
      <c r="S132" s="127"/>
      <c r="T132" s="128"/>
      <c r="U132" s="7"/>
      <c r="V132" s="2"/>
    </row>
    <row r="133" spans="1:22" ht="12.75" customHeight="1" x14ac:dyDescent="0.2">
      <c r="A133" s="6"/>
      <c r="B133" s="150"/>
      <c r="C133" s="123"/>
      <c r="D133" s="201"/>
      <c r="E133" s="124"/>
      <c r="F133" s="128"/>
      <c r="G133" s="130"/>
      <c r="H133" s="85"/>
      <c r="I133" s="132"/>
      <c r="J133" s="85"/>
      <c r="K133" s="93"/>
      <c r="L133" s="130"/>
      <c r="M133" s="137"/>
      <c r="N133" s="124"/>
      <c r="O133" s="125"/>
      <c r="P133" s="127"/>
      <c r="Q133" s="125"/>
      <c r="R133" s="126"/>
      <c r="S133" s="127"/>
      <c r="T133" s="128"/>
      <c r="U133" s="7"/>
      <c r="V133" s="2"/>
    </row>
    <row r="134" spans="1:22" ht="12.75" customHeight="1" x14ac:dyDescent="0.2">
      <c r="A134" s="6"/>
      <c r="B134" s="150"/>
      <c r="C134" s="123"/>
      <c r="D134" s="201"/>
      <c r="E134" s="124"/>
      <c r="F134" s="128"/>
      <c r="G134" s="130"/>
      <c r="H134" s="85"/>
      <c r="I134" s="132"/>
      <c r="J134" s="85"/>
      <c r="K134" s="93"/>
      <c r="L134" s="130"/>
      <c r="M134" s="137"/>
      <c r="N134" s="124"/>
      <c r="O134" s="125"/>
      <c r="P134" s="127"/>
      <c r="Q134" s="125"/>
      <c r="R134" s="126"/>
      <c r="S134" s="127"/>
      <c r="T134" s="128"/>
      <c r="U134" s="7"/>
      <c r="V134" s="2"/>
    </row>
    <row r="135" spans="1:22" ht="8.1" customHeight="1" x14ac:dyDescent="0.2">
      <c r="A135" s="6"/>
      <c r="B135" s="150"/>
      <c r="C135" s="123"/>
      <c r="D135" s="201"/>
      <c r="E135" s="124"/>
      <c r="F135" s="128"/>
      <c r="G135" s="130"/>
      <c r="H135" s="85"/>
      <c r="I135" s="132"/>
      <c r="J135" s="85"/>
      <c r="K135" s="93"/>
      <c r="L135" s="130"/>
      <c r="M135" s="137"/>
      <c r="N135" s="124"/>
      <c r="O135" s="125"/>
      <c r="P135" s="127"/>
      <c r="Q135" s="125"/>
      <c r="R135" s="126"/>
      <c r="S135" s="127"/>
      <c r="T135" s="128"/>
      <c r="U135" s="7"/>
      <c r="V135" s="2"/>
    </row>
    <row r="136" spans="1:22" ht="8.1" customHeight="1" x14ac:dyDescent="0.2">
      <c r="A136" s="6"/>
      <c r="B136" s="150"/>
      <c r="C136" s="123"/>
      <c r="D136" s="201"/>
      <c r="E136" s="124"/>
      <c r="F136" s="128"/>
      <c r="G136" s="130"/>
      <c r="H136" s="85"/>
      <c r="I136" s="132"/>
      <c r="J136" s="85"/>
      <c r="K136" s="93"/>
      <c r="L136" s="130"/>
      <c r="M136" s="137"/>
      <c r="N136" s="124"/>
      <c r="O136" s="125"/>
      <c r="P136" s="127"/>
      <c r="Q136" s="125"/>
      <c r="R136" s="126"/>
      <c r="S136" s="127"/>
      <c r="T136" s="128"/>
      <c r="U136" s="7"/>
      <c r="V136" s="2"/>
    </row>
    <row r="137" spans="1:22" ht="13.5" customHeight="1" x14ac:dyDescent="0.2">
      <c r="A137" s="6"/>
      <c r="B137" s="145"/>
      <c r="C137" s="113"/>
      <c r="D137" s="178"/>
      <c r="E137" s="115"/>
      <c r="F137" s="104"/>
      <c r="G137" s="121"/>
      <c r="H137" s="78"/>
      <c r="I137" s="109"/>
      <c r="J137" s="78"/>
      <c r="K137" s="94"/>
      <c r="L137" s="121"/>
      <c r="M137" s="138"/>
      <c r="N137" s="115"/>
      <c r="O137" s="106"/>
      <c r="P137" s="102"/>
      <c r="Q137" s="106"/>
      <c r="R137" s="119"/>
      <c r="S137" s="102"/>
      <c r="T137" s="104"/>
      <c r="U137" s="7"/>
      <c r="V137" s="2"/>
    </row>
    <row r="138" spans="1:22" ht="29.25" customHeight="1" x14ac:dyDescent="0.3">
      <c r="A138" s="6"/>
      <c r="B138" s="237" t="str">
        <f>IF($C$1="Русский","Ошская область","Osh region")</f>
        <v>Ошская область</v>
      </c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9"/>
      <c r="U138" s="7"/>
      <c r="V138" s="2"/>
    </row>
    <row r="139" spans="1:22" ht="15" customHeight="1" x14ac:dyDescent="0.2">
      <c r="A139" s="6"/>
      <c r="B139" s="240">
        <v>57</v>
      </c>
      <c r="C139" s="110" t="str">
        <f>IF($C$1="Русский","Кара-Ташская","Kara-Tashskaya")</f>
        <v>Кара-Ташская</v>
      </c>
      <c r="D139" s="112" t="s">
        <v>190</v>
      </c>
      <c r="E139" s="114" t="s">
        <v>191</v>
      </c>
      <c r="F139" s="116" t="str">
        <f>IF($C$1="Русский","(№54) р.Тар-кишл.Чолма","No 54 the Tar river - the Cholma village")</f>
        <v>(№54) р.Тар-кишл.Чолма</v>
      </c>
      <c r="G139" s="202">
        <v>10</v>
      </c>
      <c r="H139" s="77">
        <v>11</v>
      </c>
      <c r="I139" s="179">
        <f>0.8*9.81*G139*H139/0.8</f>
        <v>1079.1000000000001</v>
      </c>
      <c r="J139" s="77">
        <v>25</v>
      </c>
      <c r="K139" s="88">
        <f>0.8*9.81*G139*J139/0.8</f>
        <v>2452.5</v>
      </c>
      <c r="L139" s="26" t="str">
        <f>IF($C$1="Русский","Токбай-Талаа","Tokbai-Talaa")</f>
        <v>Токбай-Талаа</v>
      </c>
      <c r="M139" s="63">
        <v>3200</v>
      </c>
      <c r="N139" s="65">
        <v>2</v>
      </c>
      <c r="O139" s="117" t="str">
        <f>IF($C$1="Русский","35, 110 кВ в 7 км от створа","35, 110 kV 7 km from the alignment")</f>
        <v>35, 110 кВ в 7 км от створа</v>
      </c>
      <c r="P139" s="107" t="str">
        <f>IF($C$1="Русский","существует","available")</f>
        <v>существует</v>
      </c>
      <c r="Q139" s="117" t="str">
        <f>IF($C$1="Русский","существует в 17 км от створа","available 17 km from the alignment")</f>
        <v>существует в 17 км от створа</v>
      </c>
      <c r="R139" s="168" t="str">
        <f>IF($C$1="Русский","существует","available")</f>
        <v>существует</v>
      </c>
      <c r="S139" s="101"/>
      <c r="T139" s="116" t="str">
        <f>IF($C$1="Русский","Распределительная подстанция","Distribution substation")</f>
        <v>Распределительная подстанция</v>
      </c>
      <c r="U139" s="7"/>
      <c r="V139" s="2"/>
    </row>
    <row r="140" spans="1:22" ht="15" customHeight="1" x14ac:dyDescent="0.2">
      <c r="A140" s="6"/>
      <c r="B140" s="122"/>
      <c r="C140" s="122"/>
      <c r="D140" s="123"/>
      <c r="E140" s="124"/>
      <c r="F140" s="128"/>
      <c r="G140" s="203"/>
      <c r="H140" s="85"/>
      <c r="I140" s="184"/>
      <c r="J140" s="85"/>
      <c r="K140" s="91"/>
      <c r="L140" s="33" t="str">
        <f>IF($C$1="Русский","Терек-Суу","Terek-Suu")</f>
        <v>Терек-Суу</v>
      </c>
      <c r="M140" s="64">
        <v>580</v>
      </c>
      <c r="N140" s="66">
        <v>7</v>
      </c>
      <c r="O140" s="125"/>
      <c r="P140" s="127"/>
      <c r="Q140" s="125"/>
      <c r="R140" s="126"/>
      <c r="S140" s="127"/>
      <c r="T140" s="128"/>
      <c r="U140" s="7"/>
      <c r="V140" s="2"/>
    </row>
    <row r="141" spans="1:22" ht="30" customHeight="1" x14ac:dyDescent="0.2">
      <c r="A141" s="6"/>
      <c r="B141" s="122"/>
      <c r="C141" s="122"/>
      <c r="D141" s="123"/>
      <c r="E141" s="124"/>
      <c r="F141" s="128"/>
      <c r="G141" s="204"/>
      <c r="H141" s="85"/>
      <c r="I141" s="184"/>
      <c r="J141" s="85"/>
      <c r="K141" s="91"/>
      <c r="L141" s="33" t="str">
        <f>IF($C$1="Русский","Сары-Бээ и Ордёшь","Sary-Bee and Ordyosh")</f>
        <v>Сары-Бээ и Ордёшь</v>
      </c>
      <c r="M141" s="64">
        <v>790</v>
      </c>
      <c r="N141" s="66">
        <v>11</v>
      </c>
      <c r="O141" s="125"/>
      <c r="P141" s="127"/>
      <c r="Q141" s="125"/>
      <c r="R141" s="126"/>
      <c r="S141" s="127"/>
      <c r="T141" s="128"/>
      <c r="U141" s="7"/>
      <c r="V141" s="2"/>
    </row>
    <row r="142" spans="1:22" ht="15" customHeight="1" x14ac:dyDescent="0.2">
      <c r="A142" s="6"/>
      <c r="B142" s="122"/>
      <c r="C142" s="122"/>
      <c r="D142" s="123"/>
      <c r="E142" s="124"/>
      <c r="F142" s="128"/>
      <c r="G142" s="204"/>
      <c r="H142" s="85"/>
      <c r="I142" s="184"/>
      <c r="J142" s="85"/>
      <c r="K142" s="91"/>
      <c r="L142" s="33" t="str">
        <f>IF($C$1="Русский","Буйга","Buiga")</f>
        <v>Буйга</v>
      </c>
      <c r="M142" s="64">
        <v>500</v>
      </c>
      <c r="N142" s="66">
        <v>9</v>
      </c>
      <c r="O142" s="125"/>
      <c r="P142" s="127"/>
      <c r="Q142" s="125"/>
      <c r="R142" s="126"/>
      <c r="S142" s="127"/>
      <c r="T142" s="128"/>
      <c r="U142" s="7"/>
      <c r="V142" s="2"/>
    </row>
    <row r="143" spans="1:22" ht="15" customHeight="1" x14ac:dyDescent="0.2">
      <c r="A143" s="6"/>
      <c r="B143" s="122"/>
      <c r="C143" s="122"/>
      <c r="D143" s="123"/>
      <c r="E143" s="124"/>
      <c r="F143" s="128"/>
      <c r="G143" s="204"/>
      <c r="H143" s="85"/>
      <c r="I143" s="184"/>
      <c r="J143" s="85"/>
      <c r="K143" s="91"/>
      <c r="L143" s="33" t="str">
        <f>IF($C$1="Русский","Кара-Таш","Kara-Tash")</f>
        <v>Кара-Таш</v>
      </c>
      <c r="M143" s="64">
        <v>410</v>
      </c>
      <c r="N143" s="66">
        <v>7.5</v>
      </c>
      <c r="O143" s="125"/>
      <c r="P143" s="127"/>
      <c r="Q143" s="125"/>
      <c r="R143" s="126"/>
      <c r="S143" s="127"/>
      <c r="T143" s="128"/>
      <c r="U143" s="7"/>
      <c r="V143" s="2"/>
    </row>
    <row r="144" spans="1:22" ht="30.6" customHeight="1" x14ac:dyDescent="0.2">
      <c r="A144" s="6"/>
      <c r="B144" s="111"/>
      <c r="C144" s="111"/>
      <c r="D144" s="113"/>
      <c r="E144" s="115"/>
      <c r="F144" s="104"/>
      <c r="G144" s="205"/>
      <c r="H144" s="78"/>
      <c r="I144" s="180"/>
      <c r="J144" s="78"/>
      <c r="K144" s="89"/>
      <c r="L144" s="8" t="str">
        <f>IF($C$1="Русский","Сасык-Булак и Алча","Sasyk-Bulak and Alcha")</f>
        <v>Сасык-Булак и Алча</v>
      </c>
      <c r="M144" s="67">
        <v>380</v>
      </c>
      <c r="N144" s="68">
        <v>4.5</v>
      </c>
      <c r="O144" s="106"/>
      <c r="P144" s="102"/>
      <c r="Q144" s="106"/>
      <c r="R144" s="119"/>
      <c r="S144" s="102"/>
      <c r="T144" s="104"/>
      <c r="U144" s="7"/>
      <c r="V144" s="2"/>
    </row>
    <row r="145" spans="1:22" ht="16.5" customHeight="1" x14ac:dyDescent="0.2">
      <c r="A145" s="6"/>
      <c r="B145" s="240">
        <v>58</v>
      </c>
      <c r="C145" s="110" t="str">
        <f>IF($C$1="Русский","Лайтала","Laitala")</f>
        <v>Лайтала</v>
      </c>
      <c r="D145" s="112" t="s">
        <v>192</v>
      </c>
      <c r="E145" s="114" t="s">
        <v>193</v>
      </c>
      <c r="F145" s="116" t="str">
        <f>IF($C$1="Русский","(№54) р.Тар-кишл.Чолма","No 54 the Tar river - the Cholma village")</f>
        <v>(№54) р.Тар-кишл.Чолма</v>
      </c>
      <c r="G145" s="202">
        <v>11</v>
      </c>
      <c r="H145" s="77">
        <v>11</v>
      </c>
      <c r="I145" s="179">
        <f>0.8*9.81*G145*H145/0.8</f>
        <v>1187.01</v>
      </c>
      <c r="J145" s="77">
        <v>25</v>
      </c>
      <c r="K145" s="88">
        <f>0.8*9.81*G145*J145/0.8</f>
        <v>2697.75</v>
      </c>
      <c r="L145" s="26" t="str">
        <f>IF($C$1="Русский","Сай","Sai")</f>
        <v>Сай</v>
      </c>
      <c r="M145" s="63">
        <v>150</v>
      </c>
      <c r="N145" s="65">
        <v>8</v>
      </c>
      <c r="O145" s="117" t="str">
        <f>IF($C$1="Русский","35, 110 кВ","35, 110 kV")</f>
        <v>35, 110 кВ</v>
      </c>
      <c r="P145" s="101"/>
      <c r="Q145" s="117" t="str">
        <f>IF($C$1="Русский","существует","available")</f>
        <v>существует</v>
      </c>
      <c r="R145" s="118"/>
      <c r="S145" s="101"/>
      <c r="T145" s="116" t="str">
        <f>IF($C$1="Русский","ДЭУ (ГСМ), Эл. подст.,3 насосн. ст, распред. подст.","RMD (fuel),electrical S/S, 3 pump S/S, distr. S/S")</f>
        <v>ДЭУ (ГСМ), Эл. подст.,3 насосн. ст, распред. подст.</v>
      </c>
      <c r="U145" s="7"/>
      <c r="V145" s="2"/>
    </row>
    <row r="146" spans="1:22" ht="15" customHeight="1" x14ac:dyDescent="0.2">
      <c r="A146" s="6"/>
      <c r="B146" s="122"/>
      <c r="C146" s="122"/>
      <c r="D146" s="123"/>
      <c r="E146" s="124"/>
      <c r="F146" s="128"/>
      <c r="G146" s="203"/>
      <c r="H146" s="85"/>
      <c r="I146" s="184"/>
      <c r="J146" s="85"/>
      <c r="K146" s="91"/>
      <c r="L146" s="33" t="str">
        <f>IF($C$1="Русский","Ылай-Талаа","Ylai-Talaa")</f>
        <v>Ылай-Талаа</v>
      </c>
      <c r="M146" s="64">
        <v>5300</v>
      </c>
      <c r="N146" s="66">
        <v>2.5</v>
      </c>
      <c r="O146" s="125"/>
      <c r="P146" s="127"/>
      <c r="Q146" s="125"/>
      <c r="R146" s="126"/>
      <c r="S146" s="127"/>
      <c r="T146" s="128"/>
      <c r="U146" s="7"/>
      <c r="V146" s="2"/>
    </row>
    <row r="147" spans="1:22" ht="15" customHeight="1" x14ac:dyDescent="0.2">
      <c r="A147" s="6"/>
      <c r="B147" s="122"/>
      <c r="C147" s="122"/>
      <c r="D147" s="123"/>
      <c r="E147" s="124"/>
      <c r="F147" s="128"/>
      <c r="G147" s="204"/>
      <c r="H147" s="85"/>
      <c r="I147" s="184"/>
      <c r="J147" s="85"/>
      <c r="K147" s="91"/>
      <c r="L147" s="33" t="str">
        <f>IF($C$1="Русский","Сары-Камыш","Sary-Kamysh")</f>
        <v>Сары-Камыш</v>
      </c>
      <c r="M147" s="64">
        <v>740</v>
      </c>
      <c r="N147" s="66">
        <v>1</v>
      </c>
      <c r="O147" s="125"/>
      <c r="P147" s="127"/>
      <c r="Q147" s="125"/>
      <c r="R147" s="126"/>
      <c r="S147" s="127"/>
      <c r="T147" s="128"/>
      <c r="U147" s="7"/>
      <c r="V147" s="2"/>
    </row>
    <row r="148" spans="1:22" ht="16.5" customHeight="1" x14ac:dyDescent="0.2">
      <c r="A148" s="6"/>
      <c r="B148" s="122"/>
      <c r="C148" s="122"/>
      <c r="D148" s="123"/>
      <c r="E148" s="124"/>
      <c r="F148" s="128"/>
      <c r="G148" s="204"/>
      <c r="H148" s="85"/>
      <c r="I148" s="184"/>
      <c r="J148" s="85"/>
      <c r="K148" s="91"/>
      <c r="L148" s="33" t="str">
        <f>IF($C$1="Русский","Джаны-Талаа","Djany-Talaa")</f>
        <v>Джаны-Талаа</v>
      </c>
      <c r="M148" s="64">
        <v>810</v>
      </c>
      <c r="N148" s="66">
        <v>7</v>
      </c>
      <c r="O148" s="125"/>
      <c r="P148" s="127"/>
      <c r="Q148" s="125"/>
      <c r="R148" s="126"/>
      <c r="S148" s="127"/>
      <c r="T148" s="128"/>
      <c r="U148" s="7"/>
      <c r="V148" s="2"/>
    </row>
    <row r="149" spans="1:22" ht="15.75" customHeight="1" x14ac:dyDescent="0.2">
      <c r="A149" s="6"/>
      <c r="B149" s="111"/>
      <c r="C149" s="111"/>
      <c r="D149" s="113"/>
      <c r="E149" s="115"/>
      <c r="F149" s="104"/>
      <c r="G149" s="205"/>
      <c r="H149" s="78"/>
      <c r="I149" s="180"/>
      <c r="J149" s="78"/>
      <c r="K149" s="89"/>
      <c r="L149" s="8" t="str">
        <f>IF($C$1="Русский","Кенеш","Kenesh")</f>
        <v>Кенеш</v>
      </c>
      <c r="M149" s="67">
        <v>1800</v>
      </c>
      <c r="N149" s="68">
        <v>11</v>
      </c>
      <c r="O149" s="106"/>
      <c r="P149" s="102"/>
      <c r="Q149" s="106"/>
      <c r="R149" s="119"/>
      <c r="S149" s="102"/>
      <c r="T149" s="104"/>
      <c r="U149" s="7"/>
      <c r="V149" s="2"/>
    </row>
    <row r="150" spans="1:22" ht="15" customHeight="1" x14ac:dyDescent="0.2">
      <c r="A150" s="6"/>
      <c r="B150" s="240">
        <v>59</v>
      </c>
      <c r="C150" s="110" t="str">
        <f>IF($C$1="Русский","Ой-Алма","Oi-Alma")</f>
        <v>Ой-Алма</v>
      </c>
      <c r="D150" s="112" t="s">
        <v>194</v>
      </c>
      <c r="E150" s="114" t="s">
        <v>195</v>
      </c>
      <c r="F150" s="116" t="str">
        <f>IF($C$1="Русский","(№55) р. Каракульджа-кишл. Ак-Таш","No 55 the Karakulja river - the Ak-Tash village")</f>
        <v>(№55) р. Каракульджа-кишл. Ак-Таш</v>
      </c>
      <c r="G150" s="202">
        <v>21</v>
      </c>
      <c r="H150" s="77">
        <v>4.7699999999999996</v>
      </c>
      <c r="I150" s="179">
        <f>0.8*9.81*G150*H150/0.8</f>
        <v>982.66770000000008</v>
      </c>
      <c r="J150" s="77">
        <v>12.7</v>
      </c>
      <c r="K150" s="88">
        <f>0.8*9.81*G150*J150/0.8</f>
        <v>2616.3269999999998</v>
      </c>
      <c r="L150" s="26" t="str">
        <f>IF($C$1="Русский","Первое Мая","May 1")</f>
        <v>Первое Мая</v>
      </c>
      <c r="M150" s="63">
        <v>3800</v>
      </c>
      <c r="N150" s="65">
        <v>2.5</v>
      </c>
      <c r="O150" s="117" t="str">
        <f>IF($C$1="Русский","35, 110 кВ","35, 110 kV")</f>
        <v>35, 110 кВ</v>
      </c>
      <c r="P150" s="101"/>
      <c r="Q150" s="151" t="str">
        <f>IF($C$1="Русский","существует","available")</f>
        <v>существует</v>
      </c>
      <c r="R150" s="187"/>
      <c r="S150" s="165"/>
      <c r="T150" s="116" t="str">
        <f>IF($C$1="Русский","Больница, школа, распред. подст.","Hospital, school, distr. S/S")</f>
        <v>Больница, школа, распред. подст.</v>
      </c>
      <c r="U150" s="7"/>
      <c r="V150" s="2"/>
    </row>
    <row r="151" spans="1:22" ht="15" customHeight="1" x14ac:dyDescent="0.2">
      <c r="A151" s="6"/>
      <c r="B151" s="122"/>
      <c r="C151" s="122"/>
      <c r="D151" s="123"/>
      <c r="E151" s="124"/>
      <c r="F151" s="128"/>
      <c r="G151" s="209"/>
      <c r="H151" s="85"/>
      <c r="I151" s="184"/>
      <c r="J151" s="85"/>
      <c r="K151" s="91"/>
      <c r="L151" s="33" t="str">
        <f>IF($C$1="Русский","Кара-Кульджа","Kara-Kul'dja")</f>
        <v>Кара-Кульджа</v>
      </c>
      <c r="M151" s="64">
        <v>7800</v>
      </c>
      <c r="N151" s="66">
        <v>11</v>
      </c>
      <c r="O151" s="125"/>
      <c r="P151" s="127"/>
      <c r="Q151" s="130"/>
      <c r="R151" s="96"/>
      <c r="S151" s="124"/>
      <c r="T151" s="128"/>
      <c r="U151" s="7"/>
      <c r="V151" s="2"/>
    </row>
    <row r="152" spans="1:22" ht="30.75" customHeight="1" x14ac:dyDescent="0.2">
      <c r="A152" s="6"/>
      <c r="B152" s="111"/>
      <c r="C152" s="111"/>
      <c r="D152" s="113"/>
      <c r="E152" s="115"/>
      <c r="F152" s="104"/>
      <c r="G152" s="210"/>
      <c r="H152" s="78"/>
      <c r="I152" s="180"/>
      <c r="J152" s="78"/>
      <c r="K152" s="89"/>
      <c r="L152" s="8" t="str">
        <f>IF($C$1="Русский","им. Тельмана","im. Tel'mana")</f>
        <v>им. Тельмана</v>
      </c>
      <c r="M152" s="67">
        <v>2500</v>
      </c>
      <c r="N152" s="68">
        <v>12.5</v>
      </c>
      <c r="O152" s="106"/>
      <c r="P152" s="102"/>
      <c r="Q152" s="121"/>
      <c r="R152" s="97"/>
      <c r="S152" s="115"/>
      <c r="T152" s="104"/>
      <c r="U152" s="7"/>
      <c r="V152" s="2"/>
    </row>
    <row r="153" spans="1:22" ht="15" customHeight="1" x14ac:dyDescent="0.2">
      <c r="A153" s="6"/>
      <c r="B153" s="240">
        <v>60</v>
      </c>
      <c r="C153" s="110" t="str">
        <f>IF($C$1="Русский","Саламалик","Salamalik")</f>
        <v>Саламалик</v>
      </c>
      <c r="D153" s="112" t="s">
        <v>196</v>
      </c>
      <c r="E153" s="114" t="s">
        <v>197</v>
      </c>
      <c r="F153" s="116" t="str">
        <f>IF($C$1="Русский","(№56) р. Яссы - с.Саламалик","No 56 the Yassy river - the Salamalik village")</f>
        <v>(№56) р. Яссы - с.Саламалик</v>
      </c>
      <c r="G153" s="120">
        <v>10</v>
      </c>
      <c r="H153" s="77">
        <v>3.93</v>
      </c>
      <c r="I153" s="179">
        <f>0.8*9.81*G153*H153/0.8</f>
        <v>385.53299999999996</v>
      </c>
      <c r="J153" s="77">
        <v>9.52</v>
      </c>
      <c r="K153" s="88">
        <f>0.8*9.81*G153*J153/0.8</f>
        <v>933.91199999999992</v>
      </c>
      <c r="L153" s="26" t="str">
        <f>IF($C$1="Русский","Саламалик","Salamalik")</f>
        <v>Саламалик</v>
      </c>
      <c r="M153" s="63">
        <v>600</v>
      </c>
      <c r="N153" s="38">
        <v>0.5</v>
      </c>
      <c r="O153" s="116" t="str">
        <f>IF($C$1="Русский","35 кВ в 7 км от створа","35 kV 7 km from the alignment")</f>
        <v>35 кВ в 7 км от створа</v>
      </c>
      <c r="P153" s="116" t="str">
        <f>IF($C$1="Русский","существует","available")</f>
        <v>существует</v>
      </c>
      <c r="Q153" s="117" t="str">
        <f>IF($C$1="Русский","существует","available")</f>
        <v>существует</v>
      </c>
      <c r="R153" s="168" t="str">
        <f>IF($C$1="Русский","существует","available")</f>
        <v>существует</v>
      </c>
      <c r="S153" s="101"/>
      <c r="T153" s="116" t="str">
        <f>IF($C$1="Русский","Распределительная подстанция","Distribution substation")</f>
        <v>Распределительная подстанция</v>
      </c>
      <c r="U153" s="7"/>
      <c r="V153" s="2"/>
    </row>
    <row r="154" spans="1:22" ht="15" customHeight="1" x14ac:dyDescent="0.2">
      <c r="A154" s="6"/>
      <c r="B154" s="122"/>
      <c r="C154" s="122"/>
      <c r="D154" s="123"/>
      <c r="E154" s="124"/>
      <c r="F154" s="128"/>
      <c r="G154" s="203"/>
      <c r="H154" s="85"/>
      <c r="I154" s="184"/>
      <c r="J154" s="85"/>
      <c r="K154" s="91"/>
      <c r="L154" s="33" t="str">
        <f>IF($C$1="Русский","Ак-Терек","Ak-Terek")</f>
        <v>Ак-Терек</v>
      </c>
      <c r="M154" s="64">
        <v>980</v>
      </c>
      <c r="N154" s="48">
        <v>3.5</v>
      </c>
      <c r="O154" s="128"/>
      <c r="P154" s="128"/>
      <c r="Q154" s="125"/>
      <c r="R154" s="126"/>
      <c r="S154" s="127"/>
      <c r="T154" s="128"/>
      <c r="U154" s="7"/>
      <c r="V154" s="2"/>
    </row>
    <row r="155" spans="1:22" ht="15" customHeight="1" x14ac:dyDescent="0.2">
      <c r="A155" s="6"/>
      <c r="B155" s="122"/>
      <c r="C155" s="122"/>
      <c r="D155" s="123"/>
      <c r="E155" s="124"/>
      <c r="F155" s="128"/>
      <c r="G155" s="204"/>
      <c r="H155" s="85"/>
      <c r="I155" s="184"/>
      <c r="J155" s="85"/>
      <c r="K155" s="91"/>
      <c r="L155" s="33" t="str">
        <f>IF($C$1="Русский","Кош-Этер","Kosh-Eter")</f>
        <v>Кош-Этер</v>
      </c>
      <c r="M155" s="64">
        <v>980</v>
      </c>
      <c r="N155" s="48">
        <v>7</v>
      </c>
      <c r="O155" s="128"/>
      <c r="P155" s="128"/>
      <c r="Q155" s="125"/>
      <c r="R155" s="126"/>
      <c r="S155" s="127"/>
      <c r="T155" s="128"/>
      <c r="U155" s="7"/>
      <c r="V155" s="2"/>
    </row>
    <row r="156" spans="1:22" ht="15" customHeight="1" x14ac:dyDescent="0.2">
      <c r="A156" s="6"/>
      <c r="B156" s="122"/>
      <c r="C156" s="122"/>
      <c r="D156" s="123"/>
      <c r="E156" s="124"/>
      <c r="F156" s="128"/>
      <c r="G156" s="204"/>
      <c r="H156" s="85"/>
      <c r="I156" s="184"/>
      <c r="J156" s="85"/>
      <c r="K156" s="91"/>
      <c r="L156" s="33" t="str">
        <f>IF($C$1="Русский","Кызыл-Байрак","Kyzyl-Bairak")</f>
        <v>Кызыл-Байрак</v>
      </c>
      <c r="M156" s="64">
        <v>960</v>
      </c>
      <c r="N156" s="48">
        <v>9</v>
      </c>
      <c r="O156" s="128"/>
      <c r="P156" s="128"/>
      <c r="Q156" s="125"/>
      <c r="R156" s="126"/>
      <c r="S156" s="127"/>
      <c r="T156" s="128"/>
      <c r="U156" s="7"/>
      <c r="V156" s="2"/>
    </row>
    <row r="157" spans="1:22" ht="15" customHeight="1" x14ac:dyDescent="0.2">
      <c r="A157" s="6"/>
      <c r="B157" s="122"/>
      <c r="C157" s="122"/>
      <c r="D157" s="123"/>
      <c r="E157" s="124"/>
      <c r="F157" s="128"/>
      <c r="G157" s="204"/>
      <c r="H157" s="85"/>
      <c r="I157" s="184"/>
      <c r="J157" s="85"/>
      <c r="K157" s="91"/>
      <c r="L157" s="33" t="str">
        <f>IF($C$1="Русский","Эркин-Тоо","Erkin-Too")</f>
        <v>Эркин-Тоо</v>
      </c>
      <c r="M157" s="64">
        <v>980</v>
      </c>
      <c r="N157" s="48">
        <v>6</v>
      </c>
      <c r="O157" s="128"/>
      <c r="P157" s="128"/>
      <c r="Q157" s="125"/>
      <c r="R157" s="126"/>
      <c r="S157" s="127"/>
      <c r="T157" s="128"/>
      <c r="U157" s="7"/>
      <c r="V157" s="2"/>
    </row>
    <row r="158" spans="1:22" ht="30.75" customHeight="1" x14ac:dyDescent="0.2">
      <c r="A158" s="6"/>
      <c r="B158" s="111"/>
      <c r="C158" s="111"/>
      <c r="D158" s="113"/>
      <c r="E158" s="115"/>
      <c r="F158" s="104"/>
      <c r="G158" s="205"/>
      <c r="H158" s="78"/>
      <c r="I158" s="180"/>
      <c r="J158" s="78"/>
      <c r="K158" s="89"/>
      <c r="L158" s="8" t="str">
        <f>IF($C$1="Русский","Кызыл-Чарба","Kyzyl-Charba")</f>
        <v>Кызыл-Чарба</v>
      </c>
      <c r="M158" s="67">
        <v>610</v>
      </c>
      <c r="N158" s="49">
        <v>8</v>
      </c>
      <c r="O158" s="104"/>
      <c r="P158" s="104"/>
      <c r="Q158" s="106"/>
      <c r="R158" s="119"/>
      <c r="S158" s="102"/>
      <c r="T158" s="104"/>
      <c r="U158" s="7"/>
      <c r="V158" s="2"/>
    </row>
    <row r="159" spans="1:22" ht="27" customHeight="1" x14ac:dyDescent="0.2">
      <c r="A159" s="6"/>
      <c r="B159" s="240">
        <v>61</v>
      </c>
      <c r="C159" s="110" t="str">
        <f>IF($C$1="Русский","Арпатекти-1","Arpatekti-1")</f>
        <v>Арпатекти-1</v>
      </c>
      <c r="D159" s="112" t="s">
        <v>198</v>
      </c>
      <c r="E159" s="114" t="s">
        <v>199</v>
      </c>
      <c r="F159" s="116" t="str">
        <f>IF($C$1="Русский","(№64) р. Куршаб-с.Гульча, в 2км выше селения)","No 64 the Kurshab river - the Gulcha village, 2 km above the village")</f>
        <v>(№64) р. Куршаб-с.Гульча, в 2км выше селения)</v>
      </c>
      <c r="G159" s="120">
        <v>10</v>
      </c>
      <c r="H159" s="77">
        <v>6.92</v>
      </c>
      <c r="I159" s="179">
        <f>0.8*9.81*G159*H159/0.8</f>
        <v>678.85199999999998</v>
      </c>
      <c r="J159" s="77">
        <v>10</v>
      </c>
      <c r="K159" s="88">
        <f>0.8*9.81*G159*J159/0.8</f>
        <v>981</v>
      </c>
      <c r="L159" s="26" t="str">
        <f>IF($C$1="Русский","Гульча","Gulcha")</f>
        <v>Гульча</v>
      </c>
      <c r="M159" s="63">
        <v>6600</v>
      </c>
      <c r="N159" s="38">
        <v>1</v>
      </c>
      <c r="O159" s="117" t="str">
        <f>IF($C$1="Русский","150 кВ","150 kV")</f>
        <v>150 кВ</v>
      </c>
      <c r="P159" s="101"/>
      <c r="Q159" s="117" t="str">
        <f>IF($C$1="Русский","существует","available")</f>
        <v>существует</v>
      </c>
      <c r="R159" s="118"/>
      <c r="S159" s="101"/>
      <c r="T159" s="140" t="str">
        <f>IF($C$1="Русский","Насосная станция, ГСМ, эл. подст., распред. подстанции","Pump S/S, fuel, electrical, distr. S/S")</f>
        <v>Насосная станция, ГСМ, эл. подст., распред. подстанции</v>
      </c>
      <c r="U159" s="7"/>
      <c r="V159" s="2"/>
    </row>
    <row r="160" spans="1:22" ht="53.25" customHeight="1" x14ac:dyDescent="0.2">
      <c r="A160" s="6"/>
      <c r="B160" s="111"/>
      <c r="C160" s="111"/>
      <c r="D160" s="113"/>
      <c r="E160" s="115"/>
      <c r="F160" s="104"/>
      <c r="G160" s="121"/>
      <c r="H160" s="78"/>
      <c r="I160" s="180"/>
      <c r="J160" s="78"/>
      <c r="K160" s="89"/>
      <c r="L160" s="8" t="str">
        <f>IF($C$1="Русский","9 посёлков, пионерлагерь","9 villages, camp")</f>
        <v>9 посёлков, пионерлагерь</v>
      </c>
      <c r="M160" s="67">
        <v>6920</v>
      </c>
      <c r="N160" s="9" t="str">
        <f>IF($C$1="Русский","в радиусе 10 км","within a radius of 10 km")</f>
        <v>в радиусе 10 км</v>
      </c>
      <c r="O160" s="106"/>
      <c r="P160" s="102"/>
      <c r="Q160" s="106"/>
      <c r="R160" s="119"/>
      <c r="S160" s="102"/>
      <c r="T160" s="141"/>
      <c r="U160" s="7"/>
      <c r="V160" s="2"/>
    </row>
    <row r="161" spans="1:22" ht="27" customHeight="1" x14ac:dyDescent="0.2">
      <c r="A161" s="6"/>
      <c r="B161" s="240">
        <v>62</v>
      </c>
      <c r="C161" s="110" t="str">
        <f>IF($C$1="Русский","Арпатекти-2","Arpatekti-2")</f>
        <v>Арпатекти-2</v>
      </c>
      <c r="D161" s="195" t="s">
        <v>200</v>
      </c>
      <c r="E161" s="107" t="s">
        <v>201</v>
      </c>
      <c r="F161" s="116" t="str">
        <f>IF($C$1="Русский","(№64) р. Куршаб-с.Гульча, в 2км выше селения","No 64 the Kurshab river - the Gulcha village, 2 km above the village")</f>
        <v>(№64) р. Куршаб-с.Гульча, в 2км выше селения</v>
      </c>
      <c r="G161" s="120">
        <v>16</v>
      </c>
      <c r="H161" s="77">
        <v>6.92</v>
      </c>
      <c r="I161" s="179">
        <f>0.8*9.81*G161*H161/0.8</f>
        <v>1086.1632000000002</v>
      </c>
      <c r="J161" s="77">
        <v>10</v>
      </c>
      <c r="K161" s="88">
        <f>0.8*9.81*G161*J161/0.8</f>
        <v>1569.6</v>
      </c>
      <c r="L161" s="26" t="str">
        <f>IF($C$1="Русский","Кызыл-Суу","Kyzyl-Suu")</f>
        <v>Кызыл-Суу</v>
      </c>
      <c r="M161" s="63">
        <v>1100</v>
      </c>
      <c r="N161" s="38">
        <v>1</v>
      </c>
      <c r="O161" s="117" t="str">
        <f>IF($C$1="Русский","150 кВ","150 kV")</f>
        <v>150 кВ</v>
      </c>
      <c r="P161" s="101"/>
      <c r="Q161" s="117" t="str">
        <f>IF($C$1="Русский","частично существует","partly available")</f>
        <v>частично существует</v>
      </c>
      <c r="R161" s="168" t="str">
        <f>IF($C$1="Русский","существует","available")</f>
        <v>существует</v>
      </c>
      <c r="S161" s="101"/>
      <c r="T161" s="141"/>
      <c r="U161" s="7"/>
      <c r="V161" s="2"/>
    </row>
    <row r="162" spans="1:22" ht="50.25" customHeight="1" x14ac:dyDescent="0.2">
      <c r="A162" s="6"/>
      <c r="B162" s="217"/>
      <c r="C162" s="217"/>
      <c r="D162" s="205"/>
      <c r="E162" s="218"/>
      <c r="F162" s="216"/>
      <c r="G162" s="215"/>
      <c r="H162" s="78"/>
      <c r="I162" s="180"/>
      <c r="J162" s="78"/>
      <c r="K162" s="89"/>
      <c r="L162" s="8" t="str">
        <f>IF($C$1="Русский","17 посёлков","17 villages")</f>
        <v>17 посёлков</v>
      </c>
      <c r="M162" s="67">
        <v>5560</v>
      </c>
      <c r="N162" s="9" t="str">
        <f>IF($C$1="Русский","в радиусе 10 км","within a radius of 10 km")</f>
        <v>в радиусе 10 км</v>
      </c>
      <c r="O162" s="106"/>
      <c r="P162" s="102"/>
      <c r="Q162" s="106"/>
      <c r="R162" s="119"/>
      <c r="S162" s="102"/>
      <c r="T162" s="141"/>
      <c r="U162" s="7"/>
      <c r="V162" s="2"/>
    </row>
    <row r="163" spans="1:22" ht="27" customHeight="1" x14ac:dyDescent="0.2">
      <c r="A163" s="6"/>
      <c r="B163" s="240">
        <v>63</v>
      </c>
      <c r="C163" s="110" t="str">
        <f>IF($C$1="Русский","Арпатекти-3","Arpatekti-3")</f>
        <v>Арпатекти-3</v>
      </c>
      <c r="D163" s="112" t="s">
        <v>202</v>
      </c>
      <c r="E163" s="114" t="s">
        <v>203</v>
      </c>
      <c r="F163" s="116" t="str">
        <f>IF($C$1="Русский","(№65) р. Куршаб-кишл.Кочкор-Ата","No 65 the Kurshab river - the Kochkor-Ata village")</f>
        <v>(№65) р. Куршаб-кишл.Кочкор-Ата</v>
      </c>
      <c r="G163" s="120">
        <v>15</v>
      </c>
      <c r="H163" s="77">
        <v>2.74</v>
      </c>
      <c r="I163" s="179">
        <f>0.8*9.81*G163*H163/0.8</f>
        <v>403.19100000000003</v>
      </c>
      <c r="J163" s="77">
        <v>6.16</v>
      </c>
      <c r="K163" s="88">
        <f>0.8*9.81*G163*J163/0.8</f>
        <v>906.44400000000019</v>
      </c>
      <c r="L163" s="26" t="str">
        <f>IF($C$1="Русский","Кочкор-Ата","Kochkor-Ata")</f>
        <v>Кочкор-Ата</v>
      </c>
      <c r="M163" s="63">
        <v>400</v>
      </c>
      <c r="N163" s="38">
        <v>1.5</v>
      </c>
      <c r="O163" s="117" t="str">
        <f>IF($C$1="Русский","35 кВ","35 kV")</f>
        <v>35 кВ</v>
      </c>
      <c r="P163" s="101"/>
      <c r="Q163" s="105"/>
      <c r="R163" s="168" t="str">
        <f>IF($C$1="Русский","существует","available")</f>
        <v>существует</v>
      </c>
      <c r="S163" s="220"/>
      <c r="T163" s="141"/>
      <c r="U163" s="7"/>
      <c r="V163" s="2"/>
    </row>
    <row r="164" spans="1:22" ht="34.5" customHeight="1" x14ac:dyDescent="0.2">
      <c r="A164" s="6"/>
      <c r="B164" s="111"/>
      <c r="C164" s="111"/>
      <c r="D164" s="113"/>
      <c r="E164" s="115"/>
      <c r="F164" s="104"/>
      <c r="G164" s="121"/>
      <c r="H164" s="78"/>
      <c r="I164" s="180"/>
      <c r="J164" s="78"/>
      <c r="K164" s="89"/>
      <c r="L164" s="8" t="str">
        <f>IF($C$1="Русский","19 посёлков, пионерлагерь","19 villages, camp")</f>
        <v>19 посёлков, пионерлагерь</v>
      </c>
      <c r="M164" s="67">
        <v>7100</v>
      </c>
      <c r="N164" s="9" t="str">
        <f>IF($C$1="Русский","в радиусе 10 км","within a radius of 10 km")</f>
        <v>в радиусе 10 км</v>
      </c>
      <c r="O164" s="106"/>
      <c r="P164" s="102"/>
      <c r="Q164" s="106"/>
      <c r="R164" s="119"/>
      <c r="S164" s="218"/>
      <c r="T164" s="142"/>
      <c r="U164" s="7"/>
      <c r="V164" s="2"/>
    </row>
    <row r="165" spans="1:22" ht="19.5" customHeight="1" x14ac:dyDescent="0.2">
      <c r="A165" s="6"/>
      <c r="B165" s="241">
        <v>64</v>
      </c>
      <c r="C165" s="149" t="str">
        <f>IF($C$1="Русский","Ак-Буринская-1","Ak-Burinskaya-1")</f>
        <v>Ак-Буринская-1</v>
      </c>
      <c r="D165" s="112" t="s">
        <v>204</v>
      </c>
      <c r="E165" s="114" t="s">
        <v>205</v>
      </c>
      <c r="F165" s="116" t="str">
        <f>IF($C$1="Русский","(№76) р. Акбура, кишл. Тулекен","No 76 the Akbura river - the Tuleken village")</f>
        <v>(№76) р. Акбура, кишл. Тулекен</v>
      </c>
      <c r="G165" s="224">
        <v>40</v>
      </c>
      <c r="H165" s="77">
        <v>6.31</v>
      </c>
      <c r="I165" s="211">
        <f>0.8*9.81*G165*H165/0.8</f>
        <v>2476.0439999999999</v>
      </c>
      <c r="J165" s="77">
        <v>14.1</v>
      </c>
      <c r="K165" s="98">
        <f>0.8*9.81*G165*J165/0.8</f>
        <v>5532.8399999999992</v>
      </c>
      <c r="L165" s="26" t="str">
        <f>IF($C$1="Русский","Тёлёйкен","Toloiken")</f>
        <v>Тёлёйкен</v>
      </c>
      <c r="M165" s="63">
        <v>1500</v>
      </c>
      <c r="N165" s="38">
        <v>0</v>
      </c>
      <c r="O165" s="117" t="str">
        <f>IF($C$1="Русский","существует в 3,5 км от створа","available 3,5 km from the alignment")</f>
        <v>существует в 3,5 км от створа</v>
      </c>
      <c r="P165" s="107" t="str">
        <f>IF($C$1="Русский","существует","available")</f>
        <v>существует</v>
      </c>
      <c r="Q165" s="105"/>
      <c r="R165" s="168" t="str">
        <f>IF($C$1="Русский","существует","available")</f>
        <v>существует</v>
      </c>
      <c r="S165" s="101"/>
      <c r="T165" s="140" t="str">
        <f>IF($C$1="Русский","г. Ош начинается в 4 км от створа","Osh city in 4 km from the alignment")</f>
        <v>г. Ош начинается в 4 км от створа</v>
      </c>
      <c r="U165" s="7"/>
      <c r="V165" s="2"/>
    </row>
    <row r="166" spans="1:22" ht="19.5" customHeight="1" x14ac:dyDescent="0.2">
      <c r="A166" s="6"/>
      <c r="B166" s="150"/>
      <c r="C166" s="150"/>
      <c r="D166" s="123"/>
      <c r="E166" s="124"/>
      <c r="F166" s="128"/>
      <c r="G166" s="125"/>
      <c r="H166" s="85"/>
      <c r="I166" s="212"/>
      <c r="J166" s="85"/>
      <c r="K166" s="99"/>
      <c r="L166" s="131" t="str">
        <f>IF($C$1="Русский","4 населённых пункта","4 communities")</f>
        <v>4 населённых пункта</v>
      </c>
      <c r="M166" s="223">
        <v>5000</v>
      </c>
      <c r="N166" s="143" t="str">
        <f>IF($C$1="Русский","в радиусе 10 км","within a radius of 10 km")</f>
        <v>в радиусе 10 км</v>
      </c>
      <c r="O166" s="125"/>
      <c r="P166" s="127"/>
      <c r="Q166" s="125"/>
      <c r="R166" s="126"/>
      <c r="S166" s="127"/>
      <c r="T166" s="141"/>
      <c r="U166" s="7"/>
      <c r="V166" s="2"/>
    </row>
    <row r="167" spans="1:22" ht="19.5" customHeight="1" x14ac:dyDescent="0.2">
      <c r="A167" s="6"/>
      <c r="B167" s="150"/>
      <c r="C167" s="150"/>
      <c r="D167" s="123"/>
      <c r="E167" s="124"/>
      <c r="F167" s="128"/>
      <c r="G167" s="167"/>
      <c r="H167" s="85"/>
      <c r="I167" s="213"/>
      <c r="J167" s="85"/>
      <c r="K167" s="100"/>
      <c r="L167" s="130"/>
      <c r="M167" s="201"/>
      <c r="N167" s="124"/>
      <c r="O167" s="125"/>
      <c r="P167" s="127"/>
      <c r="Q167" s="125"/>
      <c r="R167" s="126"/>
      <c r="S167" s="127"/>
      <c r="T167" s="141"/>
      <c r="U167" s="7"/>
      <c r="V167" s="2"/>
    </row>
    <row r="168" spans="1:22" ht="19.5" customHeight="1" x14ac:dyDescent="0.2">
      <c r="A168" s="6"/>
      <c r="B168" s="244">
        <v>65</v>
      </c>
      <c r="C168" s="144" t="str">
        <f>IF($C$1="Русский","Ак-Буринская-2","Ak-Burinskaya-2")</f>
        <v>Ак-Буринская-2</v>
      </c>
      <c r="D168" s="146" t="s">
        <v>206</v>
      </c>
      <c r="E168" s="143" t="s">
        <v>207</v>
      </c>
      <c r="F168" s="128"/>
      <c r="G168" s="214">
        <v>8</v>
      </c>
      <c r="H168" s="85"/>
      <c r="I168" s="235">
        <f>0.8*9.81*G168*H165/0.8</f>
        <v>495.20879999999994</v>
      </c>
      <c r="J168" s="85"/>
      <c r="K168" s="221">
        <f>0.8*9.81*G168*J165/0.8</f>
        <v>1106.568</v>
      </c>
      <c r="L168" s="130"/>
      <c r="M168" s="201"/>
      <c r="N168" s="124"/>
      <c r="O168" s="125"/>
      <c r="P168" s="127"/>
      <c r="Q168" s="125"/>
      <c r="R168" s="126"/>
      <c r="S168" s="127"/>
      <c r="T168" s="141"/>
      <c r="U168" s="7"/>
      <c r="V168" s="2"/>
    </row>
    <row r="169" spans="1:22" ht="19.5" customHeight="1" x14ac:dyDescent="0.2">
      <c r="A169" s="6"/>
      <c r="B169" s="150"/>
      <c r="C169" s="150"/>
      <c r="D169" s="123"/>
      <c r="E169" s="124"/>
      <c r="F169" s="128"/>
      <c r="G169" s="125"/>
      <c r="H169" s="85"/>
      <c r="I169" s="212"/>
      <c r="J169" s="85"/>
      <c r="K169" s="99"/>
      <c r="L169" s="130"/>
      <c r="M169" s="201"/>
      <c r="N169" s="124"/>
      <c r="O169" s="125"/>
      <c r="P169" s="127"/>
      <c r="Q169" s="125"/>
      <c r="R169" s="126"/>
      <c r="S169" s="127"/>
      <c r="T169" s="141"/>
      <c r="U169" s="7"/>
      <c r="V169" s="2"/>
    </row>
    <row r="170" spans="1:22" ht="19.5" customHeight="1" x14ac:dyDescent="0.2">
      <c r="A170" s="6"/>
      <c r="B170" s="145"/>
      <c r="C170" s="145"/>
      <c r="D170" s="113"/>
      <c r="E170" s="115"/>
      <c r="F170" s="104"/>
      <c r="G170" s="106"/>
      <c r="H170" s="78"/>
      <c r="I170" s="236"/>
      <c r="J170" s="78"/>
      <c r="K170" s="222"/>
      <c r="L170" s="121"/>
      <c r="M170" s="178"/>
      <c r="N170" s="115"/>
      <c r="O170" s="106"/>
      <c r="P170" s="102"/>
      <c r="Q170" s="106"/>
      <c r="R170" s="119"/>
      <c r="S170" s="102"/>
      <c r="T170" s="142"/>
      <c r="U170" s="7"/>
      <c r="V170" s="2"/>
    </row>
    <row r="171" spans="1:22" ht="15" customHeight="1" x14ac:dyDescent="0.2">
      <c r="A171" s="6"/>
      <c r="B171" s="240">
        <v>66</v>
      </c>
      <c r="C171" s="110" t="str">
        <f>IF($C$1="Русский","Дараут-Курган","Daraut-Kurgan")</f>
        <v>Дараут-Курган</v>
      </c>
      <c r="D171" s="112" t="s">
        <v>208</v>
      </c>
      <c r="E171" s="114" t="s">
        <v>209</v>
      </c>
      <c r="F171" s="116" t="str">
        <f>IF($C$1="Русский","(№276) р.Кызылсу-с.Дараут-Курган","No 276 the Kyzylsu river - the Darout-Kurgan village")</f>
        <v>(№276) р.Кызылсу-с.Дараут-Курган</v>
      </c>
      <c r="G171" s="120">
        <v>7</v>
      </c>
      <c r="H171" s="77">
        <v>25.2</v>
      </c>
      <c r="I171" s="179">
        <f>0.8*9.81*G171*H171/0.8</f>
        <v>1730.4840000000002</v>
      </c>
      <c r="J171" s="77">
        <v>30.4</v>
      </c>
      <c r="K171" s="88">
        <f>0.8*9.81*G171*J171/0.8</f>
        <v>2087.5680000000002</v>
      </c>
      <c r="L171" s="26" t="str">
        <f>IF($C$1="Русский","Дараут-Курган","Daraut-Kurgan")</f>
        <v>Дараут-Курган</v>
      </c>
      <c r="M171" s="63">
        <v>1900</v>
      </c>
      <c r="N171" s="38">
        <v>6.5</v>
      </c>
      <c r="O171" s="103"/>
      <c r="P171" s="116" t="str">
        <f>IF($C$1="Русский","существует","available")</f>
        <v>существует</v>
      </c>
      <c r="Q171" s="105"/>
      <c r="R171" s="168" t="str">
        <f>IF($C$1="Русский","существует","available")</f>
        <v>существует</v>
      </c>
      <c r="S171" s="101"/>
      <c r="T171" s="116" t="str">
        <f>IF($C$1="Русский","ГСМ","fuel")</f>
        <v>ГСМ</v>
      </c>
      <c r="U171" s="7"/>
      <c r="V171" s="2"/>
    </row>
    <row r="172" spans="1:22" ht="12.75" customHeight="1" x14ac:dyDescent="0.2">
      <c r="A172" s="6"/>
      <c r="B172" s="122"/>
      <c r="C172" s="122"/>
      <c r="D172" s="123"/>
      <c r="E172" s="124"/>
      <c r="F172" s="128"/>
      <c r="G172" s="130"/>
      <c r="H172" s="85"/>
      <c r="I172" s="184"/>
      <c r="J172" s="85"/>
      <c r="K172" s="91"/>
      <c r="L172" s="133" t="str">
        <f>IF($C$1="Русский","6 посёлков","6 villages")</f>
        <v>6 посёлков</v>
      </c>
      <c r="M172" s="219">
        <v>2120</v>
      </c>
      <c r="N172" s="136" t="str">
        <f>IF($C$1="Русский","в радиусе 10 км","within a radius of 10 km")</f>
        <v>в радиусе 10 км</v>
      </c>
      <c r="O172" s="128"/>
      <c r="P172" s="128"/>
      <c r="Q172" s="125"/>
      <c r="R172" s="126"/>
      <c r="S172" s="127"/>
      <c r="T172" s="128"/>
      <c r="U172" s="7"/>
      <c r="V172" s="2"/>
    </row>
    <row r="173" spans="1:22" ht="12.75" customHeight="1" x14ac:dyDescent="0.2">
      <c r="A173" s="6"/>
      <c r="B173" s="122"/>
      <c r="C173" s="122"/>
      <c r="D173" s="123"/>
      <c r="E173" s="124"/>
      <c r="F173" s="128"/>
      <c r="G173" s="130"/>
      <c r="H173" s="85"/>
      <c r="I173" s="184"/>
      <c r="J173" s="85"/>
      <c r="K173" s="91"/>
      <c r="L173" s="125"/>
      <c r="M173" s="126"/>
      <c r="N173" s="127"/>
      <c r="O173" s="128"/>
      <c r="P173" s="128"/>
      <c r="Q173" s="125"/>
      <c r="R173" s="126"/>
      <c r="S173" s="127"/>
      <c r="T173" s="128"/>
      <c r="U173" s="7"/>
      <c r="V173" s="2"/>
    </row>
    <row r="174" spans="1:22" ht="28.5" customHeight="1" x14ac:dyDescent="0.2">
      <c r="A174" s="6"/>
      <c r="B174" s="111"/>
      <c r="C174" s="111"/>
      <c r="D174" s="113"/>
      <c r="E174" s="115"/>
      <c r="F174" s="104"/>
      <c r="G174" s="121"/>
      <c r="H174" s="78"/>
      <c r="I174" s="180"/>
      <c r="J174" s="78"/>
      <c r="K174" s="89"/>
      <c r="L174" s="106"/>
      <c r="M174" s="119"/>
      <c r="N174" s="102"/>
      <c r="O174" s="104"/>
      <c r="P174" s="104"/>
      <c r="Q174" s="106"/>
      <c r="R174" s="119"/>
      <c r="S174" s="102"/>
      <c r="T174" s="104"/>
      <c r="U174" s="7"/>
      <c r="V174" s="2"/>
    </row>
    <row r="175" spans="1:22" ht="27" customHeight="1" x14ac:dyDescent="0.3">
      <c r="A175" s="6"/>
      <c r="B175" s="237" t="str">
        <f>IF($C$1="Русский","Баткенская область","Batken region")</f>
        <v>Баткенская область</v>
      </c>
      <c r="C175" s="238"/>
      <c r="D175" s="238"/>
      <c r="E175" s="238"/>
      <c r="F175" s="238"/>
      <c r="G175" s="238"/>
      <c r="H175" s="238"/>
      <c r="I175" s="238"/>
      <c r="J175" s="238"/>
      <c r="K175" s="238"/>
      <c r="L175" s="238"/>
      <c r="M175" s="238"/>
      <c r="N175" s="238"/>
      <c r="O175" s="238"/>
      <c r="P175" s="238"/>
      <c r="Q175" s="238"/>
      <c r="R175" s="238"/>
      <c r="S175" s="238"/>
      <c r="T175" s="239"/>
      <c r="U175" s="7"/>
      <c r="V175" s="2"/>
    </row>
    <row r="176" spans="1:22" ht="19.5" customHeight="1" x14ac:dyDescent="0.2">
      <c r="A176" s="6"/>
      <c r="B176" s="240">
        <v>67</v>
      </c>
      <c r="C176" s="110" t="str">
        <f>IF($C$1="Русский","Аустан","Austan")</f>
        <v>Аустан</v>
      </c>
      <c r="D176" s="112" t="s">
        <v>210</v>
      </c>
      <c r="E176" s="114" t="s">
        <v>211</v>
      </c>
      <c r="F176" s="116" t="str">
        <f>IF($C$1="Русский","(№85), р. Исфайрам-сай - ниже устья р.Чаувай","No 85 the Isfairam-sai river - below the mouth of the Chauvai river")</f>
        <v>(№85), р. Исфайрам-сай - ниже устья р.Чаувай</v>
      </c>
      <c r="G176" s="120">
        <v>13</v>
      </c>
      <c r="H176" s="77">
        <v>9.1300000000000008</v>
      </c>
      <c r="I176" s="108">
        <f>0.8*9.81*G176*H176/0.8</f>
        <v>1164.3489000000002</v>
      </c>
      <c r="J176" s="77">
        <v>14.3</v>
      </c>
      <c r="K176" s="92">
        <f>0.8*9.81*G176*J176/0.8</f>
        <v>1823.6790000000003</v>
      </c>
      <c r="L176" s="26" t="str">
        <f>IF($C$1="Русский","Валакишь","Valakish")</f>
        <v>Валакишь</v>
      </c>
      <c r="M176" s="63">
        <v>470</v>
      </c>
      <c r="N176" s="38">
        <v>1.5</v>
      </c>
      <c r="O176" s="117" t="str">
        <f>IF($C$1="Русский","35 кВ","35 kV")</f>
        <v>35 кВ</v>
      </c>
      <c r="P176" s="101"/>
      <c r="Q176" s="105"/>
      <c r="R176" s="168" t="str">
        <f>IF($C$1="Русский","существует","available")</f>
        <v>существует</v>
      </c>
      <c r="S176" s="101"/>
      <c r="T176" s="116" t="str">
        <f>IF($C$1="Русский","шахта, ртутный комбинат","mine, mercury plant")</f>
        <v>шахта, ртутный комбинат</v>
      </c>
      <c r="U176" s="7"/>
      <c r="V176" s="2"/>
    </row>
    <row r="177" spans="1:22" ht="15.75" customHeight="1" x14ac:dyDescent="0.2">
      <c r="A177" s="6"/>
      <c r="B177" s="122"/>
      <c r="C177" s="122"/>
      <c r="D177" s="123"/>
      <c r="E177" s="124"/>
      <c r="F177" s="128"/>
      <c r="G177" s="130"/>
      <c r="H177" s="85"/>
      <c r="I177" s="132"/>
      <c r="J177" s="85"/>
      <c r="K177" s="93"/>
      <c r="L177" s="33" t="str">
        <f>IF($C$1="Русский","Кара - Джыгач","Kara-Djygach")</f>
        <v>Кара - Джыгач</v>
      </c>
      <c r="M177" s="64">
        <v>1300</v>
      </c>
      <c r="N177" s="48">
        <v>4</v>
      </c>
      <c r="O177" s="125"/>
      <c r="P177" s="127"/>
      <c r="Q177" s="125"/>
      <c r="R177" s="126"/>
      <c r="S177" s="127"/>
      <c r="T177" s="128"/>
      <c r="U177" s="7"/>
      <c r="V177" s="2"/>
    </row>
    <row r="178" spans="1:22" ht="15.75" customHeight="1" x14ac:dyDescent="0.2">
      <c r="A178" s="6"/>
      <c r="B178" s="122"/>
      <c r="C178" s="122"/>
      <c r="D178" s="123"/>
      <c r="E178" s="124"/>
      <c r="F178" s="128"/>
      <c r="G178" s="130"/>
      <c r="H178" s="85"/>
      <c r="I178" s="132"/>
      <c r="J178" s="85"/>
      <c r="K178" s="93"/>
      <c r="L178" s="33" t="str">
        <f>IF($C$1="Русский","Кара - Кыштак","Kara-Kyshtak")</f>
        <v>Кара - Кыштак</v>
      </c>
      <c r="M178" s="64">
        <v>780</v>
      </c>
      <c r="N178" s="48">
        <v>4</v>
      </c>
      <c r="O178" s="125"/>
      <c r="P178" s="127"/>
      <c r="Q178" s="125"/>
      <c r="R178" s="126"/>
      <c r="S178" s="127"/>
      <c r="T178" s="128"/>
      <c r="U178" s="7"/>
      <c r="V178" s="2"/>
    </row>
    <row r="179" spans="1:22" ht="15" customHeight="1" x14ac:dyDescent="0.2">
      <c r="A179" s="6"/>
      <c r="B179" s="122"/>
      <c r="C179" s="122"/>
      <c r="D179" s="123"/>
      <c r="E179" s="124"/>
      <c r="F179" s="128"/>
      <c r="G179" s="130"/>
      <c r="H179" s="85"/>
      <c r="I179" s="132"/>
      <c r="J179" s="85"/>
      <c r="K179" s="93"/>
      <c r="L179" s="33" t="str">
        <f>IF($C$1="Русский","Чаувай","Chauvai")</f>
        <v>Чаувай</v>
      </c>
      <c r="M179" s="64">
        <v>3000</v>
      </c>
      <c r="N179" s="48">
        <v>6</v>
      </c>
      <c r="O179" s="125"/>
      <c r="P179" s="127"/>
      <c r="Q179" s="125"/>
      <c r="R179" s="126"/>
      <c r="S179" s="127"/>
      <c r="T179" s="128"/>
      <c r="U179" s="7"/>
      <c r="V179" s="2"/>
    </row>
    <row r="180" spans="1:22" ht="19.5" customHeight="1" x14ac:dyDescent="0.2">
      <c r="A180" s="6"/>
      <c r="B180" s="111"/>
      <c r="C180" s="111"/>
      <c r="D180" s="113"/>
      <c r="E180" s="115"/>
      <c r="F180" s="104"/>
      <c r="G180" s="121"/>
      <c r="H180" s="78"/>
      <c r="I180" s="109"/>
      <c r="J180" s="78"/>
      <c r="K180" s="94"/>
      <c r="L180" s="8" t="str">
        <f>IF($C$1="Русский","Уч- Коргон","Uch-Korgon")</f>
        <v>Уч- Коргон</v>
      </c>
      <c r="M180" s="67">
        <v>8500</v>
      </c>
      <c r="N180" s="49">
        <v>7.5</v>
      </c>
      <c r="O180" s="106"/>
      <c r="P180" s="102"/>
      <c r="Q180" s="106"/>
      <c r="R180" s="119"/>
      <c r="S180" s="102"/>
      <c r="T180" s="104"/>
      <c r="U180" s="7"/>
      <c r="V180" s="2"/>
    </row>
    <row r="181" spans="1:22" ht="15" customHeight="1" x14ac:dyDescent="0.2">
      <c r="A181" s="6"/>
      <c r="B181" s="240">
        <v>68</v>
      </c>
      <c r="C181" s="110" t="str">
        <f>IF($C$1="Русский","Ленгер","Lenger")</f>
        <v>Ленгер</v>
      </c>
      <c r="D181" s="112" t="s">
        <v>212</v>
      </c>
      <c r="E181" s="114" t="s">
        <v>213</v>
      </c>
      <c r="F181" s="116" t="str">
        <f>IF($C$1="Русский","(№87) р. Шахимардан-кишл. Джида-лик","No 87 the Shakhimardan river - the Jidalik village")</f>
        <v>(№87) р. Шахимардан-кишл. Джида-лик</v>
      </c>
      <c r="G181" s="120">
        <v>16</v>
      </c>
      <c r="H181" s="90" t="s">
        <v>214</v>
      </c>
      <c r="I181" s="108">
        <f>0.8*9.81*G181*H181/0.8</f>
        <v>780.09120000000007</v>
      </c>
      <c r="J181" s="90" t="s">
        <v>215</v>
      </c>
      <c r="K181" s="92">
        <f>0.8*9.81*G181*J181/0.8</f>
        <v>1208.5920000000001</v>
      </c>
      <c r="L181" s="26" t="str">
        <f>IF($C$1="Русский","Джийделик","Djeidik")</f>
        <v>Джийделик</v>
      </c>
      <c r="M181" s="27" t="s">
        <v>216</v>
      </c>
      <c r="N181" s="38">
        <v>0.1</v>
      </c>
      <c r="O181" s="117" t="str">
        <f>IF($C$1="Русский","существует в 3 км от створа","available 3 km from the alignment")</f>
        <v>существует в 3 км от створа</v>
      </c>
      <c r="P181" s="107" t="str">
        <f>IF($C$1="Русский","существует","available")</f>
        <v>существует</v>
      </c>
      <c r="Q181" s="117" t="str">
        <f>IF($C$1="Русский","существует","available")</f>
        <v>существует</v>
      </c>
      <c r="R181" s="118"/>
      <c r="S181" s="101"/>
      <c r="T181" s="116" t="str">
        <f>IF($C$1="Русский","рудники","mines")</f>
        <v>рудники</v>
      </c>
      <c r="U181" s="7"/>
      <c r="V181" s="2"/>
    </row>
    <row r="182" spans="1:22" ht="15" customHeight="1" x14ac:dyDescent="0.2">
      <c r="A182" s="6"/>
      <c r="B182" s="122"/>
      <c r="C182" s="122"/>
      <c r="D182" s="123"/>
      <c r="E182" s="124"/>
      <c r="F182" s="128"/>
      <c r="G182" s="130"/>
      <c r="H182" s="86"/>
      <c r="I182" s="132"/>
      <c r="J182" s="86"/>
      <c r="K182" s="93"/>
      <c r="L182" s="33" t="str">
        <f>IF($C$1="Русский","Уразбеково","Urazbekovo")</f>
        <v>Уразбеково</v>
      </c>
      <c r="M182" s="39" t="s">
        <v>217</v>
      </c>
      <c r="N182" s="48">
        <v>6</v>
      </c>
      <c r="O182" s="125"/>
      <c r="P182" s="127"/>
      <c r="Q182" s="125"/>
      <c r="R182" s="126"/>
      <c r="S182" s="127"/>
      <c r="T182" s="128"/>
      <c r="U182" s="7"/>
      <c r="V182" s="2"/>
    </row>
    <row r="183" spans="1:22" ht="15" customHeight="1" x14ac:dyDescent="0.2">
      <c r="A183" s="6"/>
      <c r="B183" s="122"/>
      <c r="C183" s="122"/>
      <c r="D183" s="123"/>
      <c r="E183" s="124"/>
      <c r="F183" s="128"/>
      <c r="G183" s="130"/>
      <c r="H183" s="86"/>
      <c r="I183" s="132"/>
      <c r="J183" s="86"/>
      <c r="K183" s="93"/>
      <c r="L183" s="33" t="str">
        <f>IF($C$1="Русский","Кузылбулак","Kuzylbulak")</f>
        <v>Кузылбулак</v>
      </c>
      <c r="M183" s="39" t="s">
        <v>218</v>
      </c>
      <c r="N183" s="48">
        <v>5</v>
      </c>
      <c r="O183" s="125"/>
      <c r="P183" s="127"/>
      <c r="Q183" s="125"/>
      <c r="R183" s="126"/>
      <c r="S183" s="127"/>
      <c r="T183" s="128"/>
      <c r="U183" s="7"/>
      <c r="V183" s="2"/>
    </row>
    <row r="184" spans="1:22" ht="15" customHeight="1" x14ac:dyDescent="0.2">
      <c r="A184" s="6"/>
      <c r="B184" s="122"/>
      <c r="C184" s="122"/>
      <c r="D184" s="123"/>
      <c r="E184" s="124"/>
      <c r="F184" s="128"/>
      <c r="G184" s="130"/>
      <c r="H184" s="86"/>
      <c r="I184" s="132"/>
      <c r="J184" s="86"/>
      <c r="K184" s="93"/>
      <c r="L184" s="33" t="str">
        <f>IF($C$1="Русский","Лянгар","Lyzngar")</f>
        <v>Лянгар</v>
      </c>
      <c r="M184" s="39" t="s">
        <v>219</v>
      </c>
      <c r="N184" s="48">
        <v>3</v>
      </c>
      <c r="O184" s="125"/>
      <c r="P184" s="127"/>
      <c r="Q184" s="125"/>
      <c r="R184" s="126"/>
      <c r="S184" s="127"/>
      <c r="T184" s="128"/>
      <c r="U184" s="7"/>
      <c r="V184" s="2"/>
    </row>
    <row r="185" spans="1:22" ht="15" customHeight="1" x14ac:dyDescent="0.2">
      <c r="A185" s="6"/>
      <c r="B185" s="122"/>
      <c r="C185" s="122"/>
      <c r="D185" s="123"/>
      <c r="E185" s="124"/>
      <c r="F185" s="128"/>
      <c r="G185" s="130"/>
      <c r="H185" s="86"/>
      <c r="I185" s="132"/>
      <c r="J185" s="86"/>
      <c r="K185" s="93"/>
      <c r="L185" s="33" t="str">
        <f>IF($C$1="Русский","Учкун","Uchkun")</f>
        <v>Учкун</v>
      </c>
      <c r="M185" s="39" t="s">
        <v>220</v>
      </c>
      <c r="N185" s="48">
        <v>3.5</v>
      </c>
      <c r="O185" s="125"/>
      <c r="P185" s="127"/>
      <c r="Q185" s="125"/>
      <c r="R185" s="126"/>
      <c r="S185" s="127"/>
      <c r="T185" s="128"/>
      <c r="U185" s="7"/>
      <c r="V185" s="2"/>
    </row>
    <row r="186" spans="1:22" ht="15.6" customHeight="1" x14ac:dyDescent="0.2">
      <c r="A186" s="6"/>
      <c r="B186" s="111"/>
      <c r="C186" s="111"/>
      <c r="D186" s="113"/>
      <c r="E186" s="115"/>
      <c r="F186" s="104"/>
      <c r="G186" s="121"/>
      <c r="H186" s="87"/>
      <c r="I186" s="109"/>
      <c r="J186" s="87"/>
      <c r="K186" s="94"/>
      <c r="L186" s="8" t="str">
        <f>IF($C$1="Русский","Фрунзе","Frunze")</f>
        <v>Фрунзе</v>
      </c>
      <c r="M186" s="11" t="s">
        <v>221</v>
      </c>
      <c r="N186" s="49">
        <v>2.5</v>
      </c>
      <c r="O186" s="106"/>
      <c r="P186" s="102"/>
      <c r="Q186" s="106"/>
      <c r="R186" s="119"/>
      <c r="S186" s="102"/>
      <c r="T186" s="104"/>
      <c r="U186" s="7"/>
      <c r="V186" s="2"/>
    </row>
    <row r="187" spans="1:22" ht="15" customHeight="1" x14ac:dyDescent="0.2">
      <c r="A187" s="6"/>
      <c r="B187" s="240">
        <v>69</v>
      </c>
      <c r="C187" s="110" t="str">
        <f>IF($C$1="Русский","Тагап","Tagap")</f>
        <v>Тагап</v>
      </c>
      <c r="D187" s="112" t="s">
        <v>222</v>
      </c>
      <c r="E187" s="114" t="s">
        <v>223</v>
      </c>
      <c r="F187" s="116" t="str">
        <f>IF($C$1="Русский","(№100) р.Ходжа-бакирган-кишл. Андархан","No 100 the Khoja-bakirgan river - the Andarkhan village")</f>
        <v>(№100) р.Ходжа-бакирган-кишл. Андархан</v>
      </c>
      <c r="G187" s="120">
        <v>13</v>
      </c>
      <c r="H187" s="82" t="s">
        <v>224</v>
      </c>
      <c r="I187" s="108">
        <f>0.8*9.81*G187*H187/0.8</f>
        <v>521.59770000000003</v>
      </c>
      <c r="J187" s="82" t="s">
        <v>225</v>
      </c>
      <c r="K187" s="92">
        <f>0.8*9.81*G187*J187/0.8</f>
        <v>943.72200000000021</v>
      </c>
      <c r="L187" s="26" t="str">
        <f>IF($C$1="Русский","Джаны-Джол","Jany-Jol")</f>
        <v>Джаны-Джол</v>
      </c>
      <c r="M187" s="63">
        <v>700</v>
      </c>
      <c r="N187" s="38">
        <v>5</v>
      </c>
      <c r="O187" s="151" t="str">
        <f>IF($C$1="Русский","существует в 20 км от створа","available 20 km from the alignment")</f>
        <v>существует в 20 км от створа</v>
      </c>
      <c r="P187" s="114" t="str">
        <f>IF($C$1="Русский","существует","available")</f>
        <v>существует</v>
      </c>
      <c r="Q187" s="105"/>
      <c r="R187" s="168" t="str">
        <f>IF($C$1="Русский","существует","available")</f>
        <v>существует</v>
      </c>
      <c r="S187" s="101"/>
      <c r="T187" s="103"/>
      <c r="U187" s="7"/>
      <c r="V187" s="2"/>
    </row>
    <row r="188" spans="1:22" ht="15" customHeight="1" x14ac:dyDescent="0.2">
      <c r="A188" s="6"/>
      <c r="B188" s="122"/>
      <c r="C188" s="122"/>
      <c r="D188" s="123"/>
      <c r="E188" s="124"/>
      <c r="F188" s="128"/>
      <c r="G188" s="130"/>
      <c r="H188" s="83"/>
      <c r="I188" s="132"/>
      <c r="J188" s="83"/>
      <c r="K188" s="93"/>
      <c r="L188" s="33" t="str">
        <f>IF($C$1="Русский","Бешкент","Beshkent")</f>
        <v>Бешкент</v>
      </c>
      <c r="M188" s="64">
        <v>900</v>
      </c>
      <c r="N188" s="48">
        <v>7.5</v>
      </c>
      <c r="O188" s="130"/>
      <c r="P188" s="124"/>
      <c r="Q188" s="125"/>
      <c r="R188" s="126"/>
      <c r="S188" s="127"/>
      <c r="T188" s="128"/>
      <c r="U188" s="7"/>
      <c r="V188" s="2"/>
    </row>
    <row r="189" spans="1:22" ht="15" customHeight="1" x14ac:dyDescent="0.2">
      <c r="A189" s="6"/>
      <c r="B189" s="122"/>
      <c r="C189" s="122"/>
      <c r="D189" s="123"/>
      <c r="E189" s="124"/>
      <c r="F189" s="128"/>
      <c r="G189" s="130"/>
      <c r="H189" s="83"/>
      <c r="I189" s="132"/>
      <c r="J189" s="83"/>
      <c r="K189" s="93"/>
      <c r="L189" s="33" t="str">
        <f>IF($C$1="Русский","Центральное","Zentralnoe")</f>
        <v>Центральное</v>
      </c>
      <c r="M189" s="64">
        <v>120</v>
      </c>
      <c r="N189" s="48">
        <v>100</v>
      </c>
      <c r="O189" s="130"/>
      <c r="P189" s="124"/>
      <c r="Q189" s="125"/>
      <c r="R189" s="126"/>
      <c r="S189" s="127"/>
      <c r="T189" s="128"/>
      <c r="U189" s="7"/>
      <c r="V189" s="2"/>
    </row>
    <row r="190" spans="1:22" ht="30.6" customHeight="1" x14ac:dyDescent="0.2">
      <c r="A190" s="6"/>
      <c r="B190" s="111"/>
      <c r="C190" s="111"/>
      <c r="D190" s="113"/>
      <c r="E190" s="115"/>
      <c r="F190" s="104"/>
      <c r="G190" s="121"/>
      <c r="H190" s="84"/>
      <c r="I190" s="109"/>
      <c r="J190" s="84"/>
      <c r="K190" s="94"/>
      <c r="L190" s="8" t="str">
        <f>IF($C$1="Русский","5 населенных пунктов","5 communities")</f>
        <v>5 населенных пунктов</v>
      </c>
      <c r="M190" s="67">
        <v>1600</v>
      </c>
      <c r="N190" s="9" t="str">
        <f>IF($C$1="Русский","в радиусе 10 км","within a radius of 10 km")</f>
        <v>в радиусе 10 км</v>
      </c>
      <c r="O190" s="121"/>
      <c r="P190" s="115"/>
      <c r="Q190" s="106"/>
      <c r="R190" s="119"/>
      <c r="S190" s="102"/>
      <c r="T190" s="104"/>
      <c r="U190" s="7"/>
      <c r="V190" s="2"/>
    </row>
    <row r="191" spans="1:22" ht="15" customHeight="1" x14ac:dyDescent="0.2">
      <c r="A191" s="6"/>
      <c r="B191" s="240">
        <v>70</v>
      </c>
      <c r="C191" s="110" t="str">
        <f>IF($C$1="Русский","Таян","Tayan")</f>
        <v>Таян</v>
      </c>
      <c r="D191" s="112" t="s">
        <v>226</v>
      </c>
      <c r="E191" s="114" t="s">
        <v>227</v>
      </c>
      <c r="F191" s="116" t="str">
        <f>IF($C$1="Русский","(р.Сох)","the Sokh river")</f>
        <v>(р.Сох)</v>
      </c>
      <c r="G191" s="120">
        <v>10</v>
      </c>
      <c r="H191" s="82"/>
      <c r="I191" s="108"/>
      <c r="J191" s="82"/>
      <c r="K191" s="92"/>
      <c r="L191" s="26" t="str">
        <f>IF($C$1="Русский","Хушъяр","Khush'yar")</f>
        <v>Хушъяр</v>
      </c>
      <c r="M191" s="63">
        <v>2200</v>
      </c>
      <c r="N191" s="38">
        <v>5.5</v>
      </c>
      <c r="O191" s="105"/>
      <c r="P191" s="107" t="str">
        <f>IF($C$1="Русский","существует","available")</f>
        <v>существует</v>
      </c>
      <c r="Q191" s="105"/>
      <c r="R191" s="118"/>
      <c r="S191" s="107" t="str">
        <f>IF($C$1="Русский","существует","available")</f>
        <v>существует</v>
      </c>
      <c r="T191" s="103"/>
      <c r="U191" s="7"/>
      <c r="V191" s="2"/>
    </row>
    <row r="192" spans="1:22" ht="15" customHeight="1" x14ac:dyDescent="0.2">
      <c r="A192" s="6"/>
      <c r="B192" s="122"/>
      <c r="C192" s="122"/>
      <c r="D192" s="123"/>
      <c r="E192" s="124"/>
      <c r="F192" s="128"/>
      <c r="G192" s="130"/>
      <c r="H192" s="83"/>
      <c r="I192" s="132"/>
      <c r="J192" s="83"/>
      <c r="K192" s="93"/>
      <c r="L192" s="33" t="str">
        <f>IF($C$1="Русский","Таян","Tayan")</f>
        <v>Таян</v>
      </c>
      <c r="M192" s="64">
        <v>600</v>
      </c>
      <c r="N192" s="48">
        <v>4.5</v>
      </c>
      <c r="O192" s="125"/>
      <c r="P192" s="127"/>
      <c r="Q192" s="125"/>
      <c r="R192" s="126"/>
      <c r="S192" s="127"/>
      <c r="T192" s="128"/>
      <c r="U192" s="7"/>
      <c r="V192" s="2"/>
    </row>
    <row r="193" spans="1:22" ht="15" customHeight="1" x14ac:dyDescent="0.2">
      <c r="A193" s="6"/>
      <c r="B193" s="122"/>
      <c r="C193" s="122"/>
      <c r="D193" s="123"/>
      <c r="E193" s="124"/>
      <c r="F193" s="128"/>
      <c r="G193" s="130"/>
      <c r="H193" s="83"/>
      <c r="I193" s="132"/>
      <c r="J193" s="83"/>
      <c r="K193" s="93"/>
      <c r="L193" s="33" t="str">
        <f>IF($C$1="Русский","Согмент","Sogment")</f>
        <v>Согмент</v>
      </c>
      <c r="M193" s="64">
        <v>1000</v>
      </c>
      <c r="N193" s="48">
        <v>6</v>
      </c>
      <c r="O193" s="125"/>
      <c r="P193" s="127"/>
      <c r="Q193" s="125"/>
      <c r="R193" s="126"/>
      <c r="S193" s="127"/>
      <c r="T193" s="128"/>
      <c r="U193" s="7"/>
      <c r="V193" s="2"/>
    </row>
    <row r="194" spans="1:22" ht="30.6" customHeight="1" x14ac:dyDescent="0.2">
      <c r="A194" s="6"/>
      <c r="B194" s="111"/>
      <c r="C194" s="111"/>
      <c r="D194" s="113"/>
      <c r="E194" s="115"/>
      <c r="F194" s="104"/>
      <c r="G194" s="121"/>
      <c r="H194" s="84"/>
      <c r="I194" s="109"/>
      <c r="J194" s="84"/>
      <c r="K194" s="94"/>
      <c r="L194" s="8" t="str">
        <f>IF($C$1="Русский","5 населенных пунктов","5 communities")</f>
        <v>5 населенных пунктов</v>
      </c>
      <c r="M194" s="67">
        <v>5500</v>
      </c>
      <c r="N194" s="9" t="str">
        <f>IF($C$1="Русский","в радиусе 10 км","within a radius of 10 km")</f>
        <v>в радиусе 10 км</v>
      </c>
      <c r="O194" s="106"/>
      <c r="P194" s="102"/>
      <c r="Q194" s="106"/>
      <c r="R194" s="119"/>
      <c r="S194" s="102"/>
      <c r="T194" s="104"/>
      <c r="U194" s="7"/>
      <c r="V194" s="2"/>
    </row>
    <row r="195" spans="1:22" ht="31.5" customHeight="1" x14ac:dyDescent="0.3">
      <c r="A195" s="6"/>
      <c r="B195" s="237" t="str">
        <f>IF($C$1="Русский","Джалал-Абадская область","Jalal-Abad region")</f>
        <v>Джалал-Абадская область</v>
      </c>
      <c r="C195" s="238"/>
      <c r="D195" s="238"/>
      <c r="E195" s="238"/>
      <c r="F195" s="238"/>
      <c r="G195" s="238"/>
      <c r="H195" s="238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9"/>
      <c r="U195" s="7"/>
      <c r="V195" s="2"/>
    </row>
    <row r="196" spans="1:22" ht="15" customHeight="1" x14ac:dyDescent="0.2">
      <c r="A196" s="6"/>
      <c r="B196" s="240">
        <v>71</v>
      </c>
      <c r="C196" s="110" t="str">
        <f>IF($C$1="Русский","Афлатун","Aflatun")</f>
        <v>Афлатун</v>
      </c>
      <c r="D196" s="112" t="s">
        <v>228</v>
      </c>
      <c r="E196" s="114" t="s">
        <v>229</v>
      </c>
      <c r="F196" s="226" t="str">
        <f>IF($C$1="Русский","(№50) р. Афлатун-с.Афлатун, в 1,5км ниже устья р.Итокар","(No. 50) the Aflatun river - the Aflatun village, 1.5 km below the mouth of the river Itokar")</f>
        <v>(№50) р. Афлатун-с.Афлатун, в 1,5км ниже устья р.Итокар</v>
      </c>
      <c r="G196" s="120">
        <v>8</v>
      </c>
      <c r="H196" s="77">
        <v>5.35</v>
      </c>
      <c r="I196" s="179">
        <f>0.8*9.81*G196*H196/0.8</f>
        <v>419.86799999999999</v>
      </c>
      <c r="J196" s="77">
        <v>5.62</v>
      </c>
      <c r="K196" s="88">
        <f>0.8*9.81*G196*J196/0.8</f>
        <v>441.05760000000004</v>
      </c>
      <c r="L196" s="26" t="str">
        <f>IF($C$1="Русский","Афлатун","Aflatun")</f>
        <v>Афлатун</v>
      </c>
      <c r="M196" s="63">
        <v>1100</v>
      </c>
      <c r="N196" s="38">
        <v>3</v>
      </c>
      <c r="O196" s="151" t="str">
        <f>IF($C$1="Русский","35 кВ в 1 км от створа","35 kV 1 km from the alignment")</f>
        <v>35 кВ в 1 км от створа</v>
      </c>
      <c r="P196" s="114" t="str">
        <f>IF($C$1="Русский","существует","available")</f>
        <v>существует</v>
      </c>
      <c r="Q196" s="117" t="str">
        <f>IF($C$1="Русский","существует","available")</f>
        <v>существует</v>
      </c>
      <c r="R196" s="118"/>
      <c r="S196" s="101"/>
      <c r="T196" s="103"/>
      <c r="U196" s="7"/>
      <c r="V196" s="2"/>
    </row>
    <row r="197" spans="1:22" ht="15" customHeight="1" x14ac:dyDescent="0.2">
      <c r="A197" s="6"/>
      <c r="B197" s="122"/>
      <c r="C197" s="122"/>
      <c r="D197" s="123"/>
      <c r="E197" s="124"/>
      <c r="F197" s="128"/>
      <c r="G197" s="130"/>
      <c r="H197" s="85"/>
      <c r="I197" s="184"/>
      <c r="J197" s="85"/>
      <c r="K197" s="91"/>
      <c r="L197" s="33" t="str">
        <f>IF($C$1="Русский","Коргон","Korgon")</f>
        <v>Коргон</v>
      </c>
      <c r="M197" s="64">
        <v>640</v>
      </c>
      <c r="N197" s="32" t="s">
        <v>230</v>
      </c>
      <c r="O197" s="130"/>
      <c r="P197" s="124"/>
      <c r="Q197" s="125"/>
      <c r="R197" s="126"/>
      <c r="S197" s="127"/>
      <c r="T197" s="128"/>
      <c r="U197" s="7"/>
      <c r="V197" s="2"/>
    </row>
    <row r="198" spans="1:22" ht="15" customHeight="1" x14ac:dyDescent="0.2">
      <c r="A198" s="6"/>
      <c r="B198" s="122"/>
      <c r="C198" s="122"/>
      <c r="D198" s="123"/>
      <c r="E198" s="124"/>
      <c r="F198" s="128"/>
      <c r="G198" s="130"/>
      <c r="H198" s="85"/>
      <c r="I198" s="184"/>
      <c r="J198" s="85"/>
      <c r="K198" s="91"/>
      <c r="L198" s="133" t="str">
        <f>IF($C$1="Русский","20 посёлков","20 villages")</f>
        <v>20 посёлков</v>
      </c>
      <c r="M198" s="219">
        <v>6020</v>
      </c>
      <c r="N198" s="136" t="str">
        <f>IF($C$1="Русский","в радиусе 10 км","within a radius of 10 km")</f>
        <v>в радиусе 10 км</v>
      </c>
      <c r="O198" s="130"/>
      <c r="P198" s="124"/>
      <c r="Q198" s="125"/>
      <c r="R198" s="126"/>
      <c r="S198" s="127"/>
      <c r="T198" s="128"/>
      <c r="U198" s="7"/>
      <c r="V198" s="2"/>
    </row>
    <row r="199" spans="1:22" ht="33" customHeight="1" x14ac:dyDescent="0.2">
      <c r="A199" s="6"/>
      <c r="B199" s="111"/>
      <c r="C199" s="111"/>
      <c r="D199" s="113"/>
      <c r="E199" s="115"/>
      <c r="F199" s="104"/>
      <c r="G199" s="121"/>
      <c r="H199" s="78"/>
      <c r="I199" s="180"/>
      <c r="J199" s="78"/>
      <c r="K199" s="89"/>
      <c r="L199" s="106"/>
      <c r="M199" s="119"/>
      <c r="N199" s="102"/>
      <c r="O199" s="121"/>
      <c r="P199" s="115"/>
      <c r="Q199" s="106"/>
      <c r="R199" s="119"/>
      <c r="S199" s="102"/>
      <c r="T199" s="104"/>
      <c r="U199" s="7"/>
      <c r="V199" s="2"/>
    </row>
    <row r="200" spans="1:22" ht="15" customHeight="1" x14ac:dyDescent="0.2">
      <c r="A200" s="6"/>
      <c r="B200" s="240">
        <v>72</v>
      </c>
      <c r="C200" s="110" t="str">
        <f>IF($C$1="Русский","Нанай","Nanai")</f>
        <v>Нанай</v>
      </c>
      <c r="D200" s="112" t="s">
        <v>231</v>
      </c>
      <c r="E200" s="114" t="s">
        <v>232</v>
      </c>
      <c r="F200" s="116" t="str">
        <f>IF($C$1="Русский","(№88) р. Подашаата-Устье р.Тосту, в 2,6км выше устья","(No. 88) the Podashaata river - Mouth of the river Tostu, 2.6 km upstream of the mouth")</f>
        <v>(№88) р. Подашаата-Устье р.Тосту, в 2,6км выше устья</v>
      </c>
      <c r="G200" s="120">
        <v>17</v>
      </c>
      <c r="H200" s="77">
        <v>1.5</v>
      </c>
      <c r="I200" s="179">
        <f>0.8*9.81*G200*H200/0.8</f>
        <v>250.15500000000003</v>
      </c>
      <c r="J200" s="77">
        <v>3.25</v>
      </c>
      <c r="K200" s="88">
        <f>0.8*9.81*G200*J200/0.8</f>
        <v>542.00250000000005</v>
      </c>
      <c r="L200" s="26" t="str">
        <f>IF($C$1="Русский","Кашка Су","Kashka Su")</f>
        <v>Кашка Су</v>
      </c>
      <c r="M200" s="63">
        <v>730</v>
      </c>
      <c r="N200" s="63">
        <v>6.3</v>
      </c>
      <c r="O200" s="107" t="str">
        <f>IF($C$1="Русский","110 кВ в 10 км от створа","110 kV 10 km from the alignment")</f>
        <v>110 кВ в 10 км от створа</v>
      </c>
      <c r="P200" s="116" t="str">
        <f>IF($C$1="Русский","существует","available")</f>
        <v>существует</v>
      </c>
      <c r="Q200" s="225"/>
      <c r="R200" s="187"/>
      <c r="S200" s="114" t="str">
        <f>IF($C$1="Русский","существует","available")</f>
        <v>существует</v>
      </c>
      <c r="T200" s="103"/>
      <c r="U200" s="7"/>
      <c r="V200" s="2"/>
    </row>
    <row r="201" spans="1:22" ht="22.5" customHeight="1" x14ac:dyDescent="0.2">
      <c r="A201" s="6"/>
      <c r="B201" s="122"/>
      <c r="C201" s="122"/>
      <c r="D201" s="123"/>
      <c r="E201" s="124"/>
      <c r="F201" s="128"/>
      <c r="G201" s="130"/>
      <c r="H201" s="85"/>
      <c r="I201" s="184"/>
      <c r="J201" s="85"/>
      <c r="K201" s="91"/>
      <c r="L201" s="33" t="str">
        <f>IF($C$1="Русский","Тосту","Tostu")</f>
        <v>Тосту</v>
      </c>
      <c r="M201" s="64">
        <v>690</v>
      </c>
      <c r="N201" s="64">
        <v>6</v>
      </c>
      <c r="O201" s="127"/>
      <c r="P201" s="128"/>
      <c r="Q201" s="130"/>
      <c r="R201" s="96"/>
      <c r="S201" s="124"/>
      <c r="T201" s="128"/>
      <c r="U201" s="7"/>
      <c r="V201" s="2"/>
    </row>
    <row r="202" spans="1:22" ht="22.5" customHeight="1" x14ac:dyDescent="0.2">
      <c r="A202" s="6"/>
      <c r="B202" s="122"/>
      <c r="C202" s="122"/>
      <c r="D202" s="123"/>
      <c r="E202" s="124"/>
      <c r="F202" s="128"/>
      <c r="G202" s="130"/>
      <c r="H202" s="85"/>
      <c r="I202" s="184"/>
      <c r="J202" s="85"/>
      <c r="K202" s="91"/>
      <c r="L202" s="133" t="str">
        <f>IF($C$1="Русский","3 посёлков","3 villages")</f>
        <v>3 посёлков</v>
      </c>
      <c r="M202" s="219">
        <v>700</v>
      </c>
      <c r="N202" s="163" t="str">
        <f>IF($C$1="Русский","в радиусе 10 км","within a radius of 10 km")</f>
        <v>в радиусе 10 км</v>
      </c>
      <c r="O202" s="127"/>
      <c r="P202" s="128"/>
      <c r="Q202" s="130"/>
      <c r="R202" s="96"/>
      <c r="S202" s="124"/>
      <c r="T202" s="128"/>
      <c r="U202" s="7"/>
      <c r="V202" s="2"/>
    </row>
    <row r="203" spans="1:22" ht="31.5" customHeight="1" x14ac:dyDescent="0.2">
      <c r="A203" s="6"/>
      <c r="B203" s="111"/>
      <c r="C203" s="111"/>
      <c r="D203" s="113"/>
      <c r="E203" s="115"/>
      <c r="F203" s="104"/>
      <c r="G203" s="121"/>
      <c r="H203" s="78"/>
      <c r="I203" s="180"/>
      <c r="J203" s="78"/>
      <c r="K203" s="89"/>
      <c r="L203" s="106"/>
      <c r="M203" s="119"/>
      <c r="N203" s="119"/>
      <c r="O203" s="102"/>
      <c r="P203" s="104"/>
      <c r="Q203" s="121"/>
      <c r="R203" s="97"/>
      <c r="S203" s="115"/>
      <c r="T203" s="104"/>
      <c r="U203" s="7"/>
      <c r="V203" s="2"/>
    </row>
    <row r="204" spans="1:22" ht="15" customHeight="1" x14ac:dyDescent="0.2">
      <c r="A204" s="6"/>
      <c r="B204" s="240">
        <v>73</v>
      </c>
      <c r="C204" s="110" t="str">
        <f>IF($C$1="Русский","Сыны","Syny")</f>
        <v>Сыны</v>
      </c>
      <c r="D204" s="112" t="s">
        <v>233</v>
      </c>
      <c r="E204" s="114" t="s">
        <v>234</v>
      </c>
      <c r="F204" s="226" t="str">
        <f>IF($C$1="Русский","(№50) р. Афлатун-с.Афлатун, в 1,5км ниже устья р.Итокар","(No. 50) the Aflatun river - the Aflatun village, 1.5 km below the mouth of the Itogar river")</f>
        <v>(№50) р. Афлатун-с.Афлатун, в 1,5км ниже устья р.Итокар</v>
      </c>
      <c r="G204" s="120">
        <v>40</v>
      </c>
      <c r="H204" s="77">
        <v>5.35</v>
      </c>
      <c r="I204" s="179">
        <f>0.8*9.81*G204*H204/0.8</f>
        <v>2099.3399999999997</v>
      </c>
      <c r="J204" s="77">
        <v>5.62</v>
      </c>
      <c r="K204" s="88">
        <f>0.8*9.81*G204*J204/0.8</f>
        <v>2205.288</v>
      </c>
      <c r="L204" s="26" t="str">
        <f>IF($C$1="Русский","Кара Джыгач","Kara-Jygach")</f>
        <v>Кара Джыгач</v>
      </c>
      <c r="M204" s="63">
        <v>230</v>
      </c>
      <c r="N204" s="27" t="str">
        <f>IF($C$1="Русский","рядом","nearby")</f>
        <v>рядом</v>
      </c>
      <c r="O204" s="107" t="str">
        <f>IF($C$1="Русский","35 кВ в 1 км от створа","35 kV 1 km from the alignment")</f>
        <v>35 кВ в 1 км от створа</v>
      </c>
      <c r="P204" s="116" t="str">
        <f>IF($C$1="Русский","существует","available")</f>
        <v>существует</v>
      </c>
      <c r="Q204" s="117" t="str">
        <f>IF($C$1="Русский","существует","available")</f>
        <v>существует</v>
      </c>
      <c r="R204" s="118"/>
      <c r="S204" s="101"/>
      <c r="T204" s="103"/>
      <c r="U204" s="7"/>
      <c r="V204" s="2"/>
    </row>
    <row r="205" spans="1:22" ht="15" customHeight="1" x14ac:dyDescent="0.2">
      <c r="A205" s="6"/>
      <c r="B205" s="122"/>
      <c r="C205" s="122"/>
      <c r="D205" s="123"/>
      <c r="E205" s="124"/>
      <c r="F205" s="128"/>
      <c r="G205" s="130"/>
      <c r="H205" s="85"/>
      <c r="I205" s="184"/>
      <c r="J205" s="85"/>
      <c r="K205" s="91"/>
      <c r="L205" s="33" t="str">
        <f>IF($C$1="Русский","Алга ","Alga")</f>
        <v xml:space="preserve">Алга </v>
      </c>
      <c r="M205" s="64">
        <v>580</v>
      </c>
      <c r="N205" s="64">
        <v>2</v>
      </c>
      <c r="O205" s="127"/>
      <c r="P205" s="128"/>
      <c r="Q205" s="125"/>
      <c r="R205" s="126"/>
      <c r="S205" s="127"/>
      <c r="T205" s="128"/>
      <c r="U205" s="7"/>
      <c r="V205" s="2"/>
    </row>
    <row r="206" spans="1:22" ht="15" customHeight="1" x14ac:dyDescent="0.2">
      <c r="A206" s="6"/>
      <c r="B206" s="122"/>
      <c r="C206" s="122"/>
      <c r="D206" s="123"/>
      <c r="E206" s="124"/>
      <c r="F206" s="128"/>
      <c r="G206" s="130"/>
      <c r="H206" s="85"/>
      <c r="I206" s="184"/>
      <c r="J206" s="85"/>
      <c r="K206" s="91"/>
      <c r="L206" s="133" t="str">
        <f>IF($C$1="Русский","4 посёлков","4 villages")</f>
        <v>4 посёлков</v>
      </c>
      <c r="M206" s="219">
        <v>700</v>
      </c>
      <c r="N206" s="163" t="str">
        <f>IF($C$1="Русский","в радиусе 10 км","within a radius of 10 km")</f>
        <v>в радиусе 10 км</v>
      </c>
      <c r="O206" s="127"/>
      <c r="P206" s="128"/>
      <c r="Q206" s="125"/>
      <c r="R206" s="126"/>
      <c r="S206" s="127"/>
      <c r="T206" s="128"/>
      <c r="U206" s="7"/>
      <c r="V206" s="2"/>
    </row>
    <row r="207" spans="1:22" ht="42" customHeight="1" x14ac:dyDescent="0.2">
      <c r="A207" s="6"/>
      <c r="B207" s="111"/>
      <c r="C207" s="111"/>
      <c r="D207" s="113"/>
      <c r="E207" s="115"/>
      <c r="F207" s="104"/>
      <c r="G207" s="121"/>
      <c r="H207" s="78"/>
      <c r="I207" s="180"/>
      <c r="J207" s="78"/>
      <c r="K207" s="89"/>
      <c r="L207" s="106"/>
      <c r="M207" s="119"/>
      <c r="N207" s="119"/>
      <c r="O207" s="102"/>
      <c r="P207" s="104"/>
      <c r="Q207" s="106"/>
      <c r="R207" s="119"/>
      <c r="S207" s="102"/>
      <c r="T207" s="104"/>
      <c r="U207" s="7"/>
      <c r="V207" s="2"/>
    </row>
    <row r="208" spans="1:22" ht="15" customHeight="1" x14ac:dyDescent="0.2">
      <c r="A208" s="6"/>
      <c r="B208" s="240">
        <v>74</v>
      </c>
      <c r="C208" s="110" t="str">
        <f>IF($C$1="Русский","Караколь","Karakoil")</f>
        <v>Караколь</v>
      </c>
      <c r="D208" s="112" t="s">
        <v>235</v>
      </c>
      <c r="E208" s="114" t="s">
        <v>236</v>
      </c>
      <c r="F208" s="116" t="str">
        <f>IF($C$1="Русский","(№47) р. Карасу левая-Устье","(No. 47) the mouth of left Karasu river")</f>
        <v>(№47) р. Карасу левая-Устье</v>
      </c>
      <c r="G208" s="120">
        <v>93</v>
      </c>
      <c r="H208" s="77">
        <v>4.93</v>
      </c>
      <c r="I208" s="179">
        <f>0.8*9.81*G208*H208/0.8</f>
        <v>4497.7868999999992</v>
      </c>
      <c r="J208" s="77">
        <v>5.49</v>
      </c>
      <c r="K208" s="88">
        <f>0.8*9.81*G208*J208/0.8</f>
        <v>5008.6917000000003</v>
      </c>
      <c r="L208" s="117" t="str">
        <f>IF($C$1="Русский","Кара-Куль","Kara-Kul")</f>
        <v>Кара-Куль</v>
      </c>
      <c r="M208" s="228">
        <v>21000</v>
      </c>
      <c r="N208" s="229">
        <v>3</v>
      </c>
      <c r="O208" s="151" t="str">
        <f>IF($C$1="Русский","110 кВ","110 kV")</f>
        <v>110 кВ</v>
      </c>
      <c r="P208" s="114" t="str">
        <f>IF($C$1="Русский","в 3 км от створа","available 3 km from the alignment")</f>
        <v>в 3 км от створа</v>
      </c>
      <c r="Q208" s="117" t="str">
        <f>IF($C$1="Русский","существует","available")</f>
        <v>существует</v>
      </c>
      <c r="R208" s="118"/>
      <c r="S208" s="101"/>
      <c r="T208" s="116" t="str">
        <f>IF($C$1="Русский","Электрическая подстанция","Electrical substation")</f>
        <v>Электрическая подстанция</v>
      </c>
      <c r="U208" s="7"/>
      <c r="V208" s="2"/>
    </row>
    <row r="209" spans="1:22" ht="15" customHeight="1" x14ac:dyDescent="0.2">
      <c r="A209" s="6"/>
      <c r="B209" s="122"/>
      <c r="C209" s="122"/>
      <c r="D209" s="123"/>
      <c r="E209" s="124"/>
      <c r="F209" s="128"/>
      <c r="G209" s="130"/>
      <c r="H209" s="85"/>
      <c r="I209" s="184"/>
      <c r="J209" s="85"/>
      <c r="K209" s="91"/>
      <c r="L209" s="125"/>
      <c r="M209" s="126"/>
      <c r="N209" s="127"/>
      <c r="O209" s="130"/>
      <c r="P209" s="124"/>
      <c r="Q209" s="125"/>
      <c r="R209" s="126"/>
      <c r="S209" s="127"/>
      <c r="T209" s="128"/>
      <c r="U209" s="7"/>
      <c r="V209" s="2"/>
    </row>
    <row r="210" spans="1:22" ht="23.25" customHeight="1" x14ac:dyDescent="0.2">
      <c r="A210" s="6"/>
      <c r="B210" s="111"/>
      <c r="C210" s="111"/>
      <c r="D210" s="113"/>
      <c r="E210" s="115"/>
      <c r="F210" s="104"/>
      <c r="G210" s="121"/>
      <c r="H210" s="78"/>
      <c r="I210" s="180"/>
      <c r="J210" s="78"/>
      <c r="K210" s="89"/>
      <c r="L210" s="106"/>
      <c r="M210" s="119"/>
      <c r="N210" s="102"/>
      <c r="O210" s="121"/>
      <c r="P210" s="115"/>
      <c r="Q210" s="106"/>
      <c r="R210" s="119"/>
      <c r="S210" s="102"/>
      <c r="T210" s="104"/>
      <c r="U210" s="7"/>
      <c r="V210" s="2"/>
    </row>
    <row r="211" spans="1:22" ht="15" customHeight="1" x14ac:dyDescent="0.2">
      <c r="A211" s="6"/>
      <c r="B211" s="240">
        <v>75</v>
      </c>
      <c r="C211" s="110" t="str">
        <f>IF($C$1="Русский","Могол","Mogol")</f>
        <v>Могол</v>
      </c>
      <c r="D211" s="112" t="s">
        <v>237</v>
      </c>
      <c r="E211" s="114" t="s">
        <v>238</v>
      </c>
      <c r="F211" s="116" t="str">
        <f>IF($C$1="Русский","(№71)  р.Тентяксай-кишл.Чарбак","(No. 71) the Tentyaksai river - the Charbak village")</f>
        <v>(№71)  р.Тентяксай-кишл.Чарбак</v>
      </c>
      <c r="G211" s="120">
        <v>7</v>
      </c>
      <c r="H211" s="95">
        <v>7.42</v>
      </c>
      <c r="I211" s="179">
        <f>0.8*9.81*G211*H211/0.8</f>
        <v>509.53140000000002</v>
      </c>
      <c r="J211" s="95">
        <v>11.5</v>
      </c>
      <c r="K211" s="88">
        <f>0.8*9.81*G211*J211/0.8</f>
        <v>789.70500000000015</v>
      </c>
      <c r="L211" s="26" t="str">
        <f>IF($C$1="Русский","Правда","Pravda")</f>
        <v>Правда</v>
      </c>
      <c r="M211" s="63">
        <v>680</v>
      </c>
      <c r="N211" s="27" t="str">
        <f>IF($C$1="Русский","рядом","nearby")</f>
        <v>рядом</v>
      </c>
      <c r="O211" s="107" t="str">
        <f>IF($C$1="Русский","35 кВ","35 kV")</f>
        <v>35 кВ</v>
      </c>
      <c r="P211" s="116" t="str">
        <f>IF($C$1="Русский","существует","available")</f>
        <v>существует</v>
      </c>
      <c r="Q211" s="117" t="str">
        <f>IF($C$1="Русский","существует","available")</f>
        <v>существует</v>
      </c>
      <c r="R211" s="118"/>
      <c r="S211" s="101"/>
      <c r="T211" s="103"/>
      <c r="U211" s="7"/>
      <c r="V211" s="2"/>
    </row>
    <row r="212" spans="1:22" ht="15" customHeight="1" x14ac:dyDescent="0.2">
      <c r="A212" s="6"/>
      <c r="B212" s="122"/>
      <c r="C212" s="122"/>
      <c r="D212" s="123"/>
      <c r="E212" s="124"/>
      <c r="F212" s="128"/>
      <c r="G212" s="130"/>
      <c r="H212" s="96"/>
      <c r="I212" s="184"/>
      <c r="J212" s="96"/>
      <c r="K212" s="91"/>
      <c r="L212" s="33" t="str">
        <f>IF($C$1="Русский","Чарбак","Charbak")</f>
        <v>Чарбак</v>
      </c>
      <c r="M212" s="64">
        <v>730</v>
      </c>
      <c r="N212" s="64">
        <v>3.7</v>
      </c>
      <c r="O212" s="127"/>
      <c r="P212" s="128"/>
      <c r="Q212" s="125"/>
      <c r="R212" s="126"/>
      <c r="S212" s="127"/>
      <c r="T212" s="128"/>
      <c r="U212" s="7"/>
      <c r="V212" s="2"/>
    </row>
    <row r="213" spans="1:22" ht="15" customHeight="1" x14ac:dyDescent="0.2">
      <c r="A213" s="6"/>
      <c r="B213" s="122"/>
      <c r="C213" s="122"/>
      <c r="D213" s="123"/>
      <c r="E213" s="124"/>
      <c r="F213" s="128"/>
      <c r="G213" s="130"/>
      <c r="H213" s="96"/>
      <c r="I213" s="184"/>
      <c r="J213" s="96"/>
      <c r="K213" s="91"/>
      <c r="L213" s="133" t="str">
        <f>IF($C$1="Русский","7 посёлков","7 villages")</f>
        <v>7 посёлков</v>
      </c>
      <c r="M213" s="219">
        <v>3900</v>
      </c>
      <c r="N213" s="163" t="str">
        <f>IF($C$1="Русский","в радиусе 10 км","within a radius of 10 km")</f>
        <v>в радиусе 10 км</v>
      </c>
      <c r="O213" s="127"/>
      <c r="P213" s="128"/>
      <c r="Q213" s="125"/>
      <c r="R213" s="126"/>
      <c r="S213" s="127"/>
      <c r="T213" s="128"/>
      <c r="U213" s="7"/>
      <c r="V213" s="2"/>
    </row>
    <row r="214" spans="1:22" ht="15.75" customHeight="1" x14ac:dyDescent="0.2">
      <c r="A214" s="6"/>
      <c r="B214" s="111"/>
      <c r="C214" s="111"/>
      <c r="D214" s="113"/>
      <c r="E214" s="115"/>
      <c r="F214" s="104"/>
      <c r="G214" s="121"/>
      <c r="H214" s="97"/>
      <c r="I214" s="180"/>
      <c r="J214" s="97"/>
      <c r="K214" s="89"/>
      <c r="L214" s="106"/>
      <c r="M214" s="119"/>
      <c r="N214" s="119"/>
      <c r="O214" s="102"/>
      <c r="P214" s="104"/>
      <c r="Q214" s="106"/>
      <c r="R214" s="119"/>
      <c r="S214" s="102"/>
      <c r="T214" s="104"/>
      <c r="U214" s="7"/>
      <c r="V214" s="2"/>
    </row>
    <row r="215" spans="1:22" ht="15" customHeight="1" x14ac:dyDescent="0.2">
      <c r="A215" s="6"/>
      <c r="B215" s="240">
        <v>76</v>
      </c>
      <c r="C215" s="110" t="str">
        <f>IF($C$1="Русский","Шандай-Сай","Shandai-Sai")</f>
        <v>Шандай-Сай</v>
      </c>
      <c r="D215" s="151" t="s">
        <v>239</v>
      </c>
      <c r="E215" s="114" t="s">
        <v>240</v>
      </c>
      <c r="F215" s="188" t="str">
        <f>IF($C$1="Русский","(№72) р. Шайдансай-кишл. Шайдан","(No. 72) the Shandaisai river - the Shaidan village")</f>
        <v>(№72) р. Шайдансай-кишл. Шайдан</v>
      </c>
      <c r="G215" s="120">
        <v>26</v>
      </c>
      <c r="H215" s="77">
        <v>0.66</v>
      </c>
      <c r="I215" s="179">
        <f>0.8*9.81*G215*H215/0.8</f>
        <v>168.33960000000005</v>
      </c>
      <c r="J215" s="77">
        <v>0.9</v>
      </c>
      <c r="K215" s="88">
        <f>0.8*9.81*G215*J215/0.8</f>
        <v>229.55400000000003</v>
      </c>
      <c r="L215" s="26" t="str">
        <f>IF($C$1="Русский","Ленин Джол","Lenin Jol")</f>
        <v>Ленин Джол</v>
      </c>
      <c r="M215" s="63">
        <v>10400</v>
      </c>
      <c r="N215" s="38">
        <v>8.5</v>
      </c>
      <c r="O215" s="188" t="str">
        <f>IF($C$1="Русский","330 кВ в 3 км от створа","330 kV 3 km from the alignment")</f>
        <v>330 кВ в 3 км от створа</v>
      </c>
      <c r="P215" s="188" t="str">
        <f>IF($C$1="Русский","в 3,5 км от створа","available 3,5 km from the alignment")</f>
        <v>в 3,5 км от створа</v>
      </c>
      <c r="Q215" s="225"/>
      <c r="R215" s="82" t="str">
        <f>IF($C$1="Русский","существует","available")</f>
        <v>существует</v>
      </c>
      <c r="S215" s="165"/>
      <c r="T215" s="227"/>
      <c r="U215" s="7"/>
      <c r="V215" s="2"/>
    </row>
    <row r="216" spans="1:22" ht="20.25" customHeight="1" x14ac:dyDescent="0.2">
      <c r="A216" s="6"/>
      <c r="B216" s="122"/>
      <c r="C216" s="122"/>
      <c r="D216" s="130"/>
      <c r="E216" s="124"/>
      <c r="F216" s="189"/>
      <c r="G216" s="130"/>
      <c r="H216" s="85"/>
      <c r="I216" s="184"/>
      <c r="J216" s="85"/>
      <c r="K216" s="91"/>
      <c r="L216" s="131" t="str">
        <f>IF($C$1="Русский","14 посёлков","14 villages")</f>
        <v>14 посёлков</v>
      </c>
      <c r="M216" s="230">
        <v>8000</v>
      </c>
      <c r="N216" s="143" t="str">
        <f>IF($C$1="Русский","в радиусе 10 км","within a radius of 10 km")</f>
        <v>в радиусе 10 км</v>
      </c>
      <c r="O216" s="189"/>
      <c r="P216" s="189"/>
      <c r="Q216" s="130"/>
      <c r="R216" s="96"/>
      <c r="S216" s="124"/>
      <c r="T216" s="189"/>
      <c r="U216" s="7"/>
      <c r="V216" s="2"/>
    </row>
    <row r="217" spans="1:22" ht="30.75" customHeight="1" x14ac:dyDescent="0.2">
      <c r="A217" s="6"/>
      <c r="B217" s="111"/>
      <c r="C217" s="111"/>
      <c r="D217" s="121"/>
      <c r="E217" s="115"/>
      <c r="F217" s="190"/>
      <c r="G217" s="121"/>
      <c r="H217" s="78"/>
      <c r="I217" s="180"/>
      <c r="J217" s="78"/>
      <c r="K217" s="89"/>
      <c r="L217" s="121"/>
      <c r="M217" s="97"/>
      <c r="N217" s="115"/>
      <c r="O217" s="190"/>
      <c r="P217" s="190"/>
      <c r="Q217" s="121"/>
      <c r="R217" s="97"/>
      <c r="S217" s="115"/>
      <c r="T217" s="190"/>
      <c r="U217" s="7"/>
      <c r="V217" s="2"/>
    </row>
    <row r="218" spans="1:22" ht="58.5" customHeight="1" x14ac:dyDescent="0.2">
      <c r="A218" s="6"/>
      <c r="B218" s="250">
        <v>77</v>
      </c>
      <c r="C218" s="116" t="str">
        <f>IF($C$1="Русский","Сары-Булак","Sary-Bulak")</f>
        <v>Сары-Булак</v>
      </c>
      <c r="D218" s="117" t="s">
        <v>241</v>
      </c>
      <c r="E218" s="107" t="s">
        <v>242</v>
      </c>
      <c r="F218" s="188" t="str">
        <f>IF($C$1="Русский","(№67) р. Кугарт -с.Михайловское","(No. 67) the Kugart river - the Mikhailovskoe village")</f>
        <v>(№67) р. Кугарт -с.Михайловское</v>
      </c>
      <c r="G218" s="120">
        <v>9</v>
      </c>
      <c r="H218" s="95">
        <v>3.14</v>
      </c>
      <c r="I218" s="179">
        <f>0.8*9.81*G218*H218/0.8</f>
        <v>277.23060000000004</v>
      </c>
      <c r="J218" s="95">
        <v>5.17</v>
      </c>
      <c r="K218" s="88">
        <f>0.8*9.81*G218*J218/0.8</f>
        <v>456.45929999999998</v>
      </c>
      <c r="L218" s="26" t="str">
        <f>IF($C$1="Русский","Сары-Булак","Sary-Bulak")</f>
        <v>Сары-Булак</v>
      </c>
      <c r="M218" s="63">
        <v>340</v>
      </c>
      <c r="N218" s="38">
        <v>0</v>
      </c>
      <c r="O218" s="151" t="str">
        <f>IF($C$1="Русский","35, 110 кВ","35, 110 kV")</f>
        <v>35, 110 кВ</v>
      </c>
      <c r="P218" s="165"/>
      <c r="Q218" s="117" t="str">
        <f>IF($C$1="Русский","существует (местами)","available (partly)")</f>
        <v>существует (местами)</v>
      </c>
      <c r="R218" s="168" t="str">
        <f>IF($C$1="Русский","существует","available")</f>
        <v>существует</v>
      </c>
      <c r="S218" s="101"/>
      <c r="T218" s="140" t="str">
        <f>IF($C$1="Русский","Эл. подст., насосн. ст., распред. подст.","Electrical S/S, distr S/S, pump S/S")</f>
        <v>Эл. подст., насосн. ст., распред. подст.</v>
      </c>
      <c r="U218" s="7"/>
      <c r="V218" s="2"/>
    </row>
    <row r="219" spans="1:22" ht="60" customHeight="1" x14ac:dyDescent="0.2">
      <c r="A219" s="6"/>
      <c r="B219" s="104"/>
      <c r="C219" s="104"/>
      <c r="D219" s="106"/>
      <c r="E219" s="102"/>
      <c r="F219" s="190"/>
      <c r="G219" s="121"/>
      <c r="H219" s="97"/>
      <c r="I219" s="180"/>
      <c r="J219" s="97"/>
      <c r="K219" s="89"/>
      <c r="L219" s="8" t="str">
        <f>IF($C$1="Русский","12 посёлков","12 villages")</f>
        <v>12 посёлков</v>
      </c>
      <c r="M219" s="11" t="s">
        <v>243</v>
      </c>
      <c r="N219" s="9" t="str">
        <f>IF($C$1="Русский","в радиусе 10 км","within a radius of 10 km")</f>
        <v>в радиусе 10 км</v>
      </c>
      <c r="O219" s="130"/>
      <c r="P219" s="124"/>
      <c r="Q219" s="125"/>
      <c r="R219" s="126"/>
      <c r="S219" s="127"/>
      <c r="T219" s="141"/>
      <c r="U219" s="7"/>
      <c r="V219" s="2"/>
    </row>
    <row r="220" spans="1:22" ht="66.75" customHeight="1" x14ac:dyDescent="0.2">
      <c r="A220" s="6"/>
      <c r="B220" s="17">
        <v>78</v>
      </c>
      <c r="C220" s="43" t="str">
        <f>IF($C$1="Русский","Сары-Булак-1","Sary-Bulak-1")</f>
        <v>Сары-Булак-1</v>
      </c>
      <c r="D220" s="44" t="s">
        <v>244</v>
      </c>
      <c r="E220" s="45" t="s">
        <v>245</v>
      </c>
      <c r="F220" s="50" t="str">
        <f>IF($C$1="Русский","(№69) р. Каралма-кишл. Каралма","(No. 69) the Karalma river - the Karalma village")</f>
        <v>(№69) р. Каралма-кишл. Каралма</v>
      </c>
      <c r="G220" s="13">
        <v>19</v>
      </c>
      <c r="H220" s="15">
        <v>0.8</v>
      </c>
      <c r="I220" s="69">
        <f>0.8*9.81*G220*H220/0.8</f>
        <v>149.11200000000002</v>
      </c>
      <c r="J220" s="15">
        <v>4.34</v>
      </c>
      <c r="K220" s="70">
        <f>0.8*9.81*G220*J220/0.8</f>
        <v>808.93260000000009</v>
      </c>
      <c r="L220" s="26" t="str">
        <f>IF($C$1="Русский","Катранкы","Katranky")</f>
        <v>Катранкы</v>
      </c>
      <c r="M220" s="27" t="s">
        <v>246</v>
      </c>
      <c r="N220" s="38">
        <v>1</v>
      </c>
      <c r="O220" s="130"/>
      <c r="P220" s="124"/>
      <c r="Q220" s="125"/>
      <c r="R220" s="126"/>
      <c r="S220" s="127"/>
      <c r="T220" s="141"/>
      <c r="U220" s="7"/>
      <c r="V220" s="2"/>
    </row>
    <row r="221" spans="1:22" ht="63.75" customHeight="1" x14ac:dyDescent="0.2">
      <c r="A221" s="6"/>
      <c r="B221" s="17">
        <v>79</v>
      </c>
      <c r="C221" s="43" t="str">
        <f>IF($C$1="Русский","Сары-Булак-2","Sary-Bulak-2")</f>
        <v>Сары-Булак-2</v>
      </c>
      <c r="D221" s="44" t="s">
        <v>247</v>
      </c>
      <c r="E221" s="45" t="s">
        <v>248</v>
      </c>
      <c r="F221" s="50" t="str">
        <f>IF($C$1="Русский","(№68) р. Урумбаш-кишл.Саты","(No. 68) the Urumbash river - the Saty village")</f>
        <v>(№68) р. Урумбаш-кишл.Саты</v>
      </c>
      <c r="G221" s="13">
        <v>15</v>
      </c>
      <c r="H221" s="15">
        <v>0.84</v>
      </c>
      <c r="I221" s="69">
        <f>0.8*9.81*G221*H221/0.8</f>
        <v>123.60600000000001</v>
      </c>
      <c r="J221" s="15">
        <v>3.28</v>
      </c>
      <c r="K221" s="70">
        <f>0.8*9.81*G221*J221/0.8</f>
        <v>482.65199999999999</v>
      </c>
      <c r="L221" s="8" t="str">
        <f>IF($C$1="Русский","Саты","Saty")</f>
        <v>Саты</v>
      </c>
      <c r="M221" s="36" t="s">
        <v>249</v>
      </c>
      <c r="N221" s="49">
        <v>0</v>
      </c>
      <c r="O221" s="130"/>
      <c r="P221" s="124"/>
      <c r="Q221" s="125"/>
      <c r="R221" s="126"/>
      <c r="S221" s="127"/>
      <c r="T221" s="141"/>
      <c r="U221" s="7"/>
      <c r="V221" s="2"/>
    </row>
    <row r="222" spans="1:22" ht="30" customHeight="1" x14ac:dyDescent="0.2">
      <c r="A222" s="6"/>
      <c r="B222" s="240">
        <v>80</v>
      </c>
      <c r="C222" s="110" t="str">
        <f>IF($C$1="Русский","Сары-Булак-3","Sary-Bulak-3")</f>
        <v>Сары-Булак-3</v>
      </c>
      <c r="D222" s="112" t="s">
        <v>250</v>
      </c>
      <c r="E222" s="114" t="s">
        <v>251</v>
      </c>
      <c r="F222" s="116" t="str">
        <f>IF($C$1="Русский","(№66) р. Кугарт-кишл. Канжига","(No. 66) the Kugart river - the Kanjiga village")</f>
        <v>(№66) р. Кугарт-кишл. Канжига</v>
      </c>
      <c r="G222" s="120">
        <v>19</v>
      </c>
      <c r="H222" s="95">
        <v>2.6</v>
      </c>
      <c r="I222" s="179">
        <f>0.8*9.81*G222*H222/0.8</f>
        <v>484.61400000000009</v>
      </c>
      <c r="J222" s="95">
        <v>11.1</v>
      </c>
      <c r="K222" s="88">
        <f>0.8*9.81*G222*J222/0.8</f>
        <v>2068.9290000000001</v>
      </c>
      <c r="L222" s="26" t="str">
        <f>IF($C$1="Русский","Таран-Базар","Taran-Bazar")</f>
        <v>Таран-Базар</v>
      </c>
      <c r="M222" s="37" t="s">
        <v>252</v>
      </c>
      <c r="N222" s="38">
        <v>1.5</v>
      </c>
      <c r="O222" s="130"/>
      <c r="P222" s="124"/>
      <c r="Q222" s="125"/>
      <c r="R222" s="126"/>
      <c r="S222" s="127"/>
      <c r="T222" s="141"/>
      <c r="U222" s="7"/>
      <c r="V222" s="2"/>
    </row>
    <row r="223" spans="1:22" ht="58.5" customHeight="1" x14ac:dyDescent="0.2">
      <c r="A223" s="6"/>
      <c r="B223" s="111"/>
      <c r="C223" s="111"/>
      <c r="D223" s="113"/>
      <c r="E223" s="115"/>
      <c r="F223" s="104"/>
      <c r="G223" s="121"/>
      <c r="H223" s="97"/>
      <c r="I223" s="180"/>
      <c r="J223" s="97"/>
      <c r="K223" s="89"/>
      <c r="L223" s="8" t="str">
        <f>IF($C$1="Русский","кроме того 16 посёлков ","16 more villages")</f>
        <v xml:space="preserve">кроме того 16 посёлков </v>
      </c>
      <c r="M223" s="36" t="s">
        <v>253</v>
      </c>
      <c r="N223" s="9" t="str">
        <f>IF($C$1="Русский","в радиусе 10 км от среднего створа","within a radius of 10 km from the middle alignment")</f>
        <v>в радиусе 10 км от среднего створа</v>
      </c>
      <c r="O223" s="121"/>
      <c r="P223" s="115"/>
      <c r="Q223" s="106"/>
      <c r="R223" s="119"/>
      <c r="S223" s="102"/>
      <c r="T223" s="142"/>
      <c r="U223" s="7"/>
      <c r="V223" s="2"/>
    </row>
    <row r="224" spans="1:22" ht="15" customHeight="1" x14ac:dyDescent="0.2">
      <c r="A224" s="6"/>
      <c r="B224" s="240">
        <v>81</v>
      </c>
      <c r="C224" s="110" t="str">
        <f>IF($C$1="Русский","Бурганды","Burgandy")</f>
        <v>Бурганды</v>
      </c>
      <c r="D224" s="112" t="s">
        <v>254</v>
      </c>
      <c r="E224" s="114" t="s">
        <v>255</v>
      </c>
      <c r="F224" s="116" t="str">
        <f>IF($C$1="Русский","(№73) р. Майлису-Устье р.Кайрагач ","(No. 73) the Mailisuu river - the mouth of Kairagach river")</f>
        <v xml:space="preserve">(№73) р. Майлису-Устье р.Кайрагач </v>
      </c>
      <c r="G224" s="120">
        <v>15</v>
      </c>
      <c r="H224" s="77">
        <v>2.02</v>
      </c>
      <c r="I224" s="179">
        <f>0.8*9.81*G224*H224/0.8</f>
        <v>297.24299999999999</v>
      </c>
      <c r="J224" s="77">
        <v>4.59</v>
      </c>
      <c r="K224" s="88">
        <f>0.8*9.81*G224*J224/0.8</f>
        <v>675.41850000000011</v>
      </c>
      <c r="L224" s="26" t="str">
        <f>IF($C$1="Русский","Майли Май","Maili Mai")</f>
        <v>Майли Май</v>
      </c>
      <c r="M224" s="63">
        <v>29800</v>
      </c>
      <c r="N224" s="38">
        <v>2.5</v>
      </c>
      <c r="O224" s="151" t="str">
        <f>IF($C$1="Русский","35 кВ рядом со створом","35 kV by the alignment")</f>
        <v>35 кВ рядом со створом</v>
      </c>
      <c r="P224" s="114" t="str">
        <f>IF($C$1="Русский","существует","available")</f>
        <v>существует</v>
      </c>
      <c r="Q224" s="117" t="str">
        <f>IF($C$1="Русский","существует","available")</f>
        <v>существует</v>
      </c>
      <c r="R224" s="118"/>
      <c r="S224" s="101"/>
      <c r="T224" s="116" t="str">
        <f>IF($C$1="Русский","ТЭЦ ","CHP")</f>
        <v xml:space="preserve">ТЭЦ </v>
      </c>
      <c r="U224" s="7"/>
      <c r="V224" s="2"/>
    </row>
    <row r="225" spans="1:22" ht="15" customHeight="1" x14ac:dyDescent="0.2">
      <c r="A225" s="6"/>
      <c r="B225" s="122"/>
      <c r="C225" s="122"/>
      <c r="D225" s="123"/>
      <c r="E225" s="124"/>
      <c r="F225" s="128"/>
      <c r="G225" s="130"/>
      <c r="H225" s="85"/>
      <c r="I225" s="184"/>
      <c r="J225" s="85"/>
      <c r="K225" s="91"/>
      <c r="L225" s="33" t="str">
        <f>IF($C$1="Русский","Кек Таш","Kek Tash")</f>
        <v>Кек Таш</v>
      </c>
      <c r="M225" s="64">
        <v>3600</v>
      </c>
      <c r="N225" s="48">
        <v>15</v>
      </c>
      <c r="O225" s="130"/>
      <c r="P225" s="124"/>
      <c r="Q225" s="125"/>
      <c r="R225" s="126"/>
      <c r="S225" s="127"/>
      <c r="T225" s="128"/>
      <c r="U225" s="7"/>
      <c r="V225" s="2"/>
    </row>
    <row r="226" spans="1:22" ht="15" customHeight="1" x14ac:dyDescent="0.2">
      <c r="A226" s="6"/>
      <c r="B226" s="122"/>
      <c r="C226" s="122"/>
      <c r="D226" s="123"/>
      <c r="E226" s="124"/>
      <c r="F226" s="128"/>
      <c r="G226" s="130"/>
      <c r="H226" s="85"/>
      <c r="I226" s="184"/>
      <c r="J226" s="85"/>
      <c r="K226" s="91"/>
      <c r="L226" s="133" t="str">
        <f>IF($C$1="Русский","2 посёлка","2 villages")</f>
        <v>2 посёлка</v>
      </c>
      <c r="M226" s="219">
        <v>800</v>
      </c>
      <c r="N226" s="136" t="str">
        <f>IF($C$1="Русский","в радиусе 10 км","within a radius of 10 km")</f>
        <v>в радиусе 10 км</v>
      </c>
      <c r="O226" s="130"/>
      <c r="P226" s="124"/>
      <c r="Q226" s="125"/>
      <c r="R226" s="126"/>
      <c r="S226" s="127"/>
      <c r="T226" s="128"/>
      <c r="U226" s="7"/>
      <c r="V226" s="2"/>
    </row>
    <row r="227" spans="1:22" ht="15.75" customHeight="1" x14ac:dyDescent="0.2">
      <c r="A227" s="6"/>
      <c r="B227" s="111"/>
      <c r="C227" s="111"/>
      <c r="D227" s="113"/>
      <c r="E227" s="115"/>
      <c r="F227" s="104"/>
      <c r="G227" s="121"/>
      <c r="H227" s="78"/>
      <c r="I227" s="180"/>
      <c r="J227" s="78"/>
      <c r="K227" s="89"/>
      <c r="L227" s="106"/>
      <c r="M227" s="119"/>
      <c r="N227" s="102"/>
      <c r="O227" s="121"/>
      <c r="P227" s="115"/>
      <c r="Q227" s="106"/>
      <c r="R227" s="119"/>
      <c r="S227" s="102"/>
      <c r="T227" s="104"/>
      <c r="U227" s="7"/>
      <c r="V227" s="2"/>
    </row>
    <row r="228" spans="1:22" ht="15" customHeight="1" x14ac:dyDescent="0.2">
      <c r="A228" s="6"/>
      <c r="B228" s="240">
        <v>82</v>
      </c>
      <c r="C228" s="110" t="str">
        <f>IF($C$1="Русский","Торкен","Torken")</f>
        <v>Торкен</v>
      </c>
      <c r="D228" s="112" t="s">
        <v>256</v>
      </c>
      <c r="E228" s="114" t="s">
        <v>257</v>
      </c>
      <c r="F228" s="226" t="str">
        <f>IF($C$1="Русский","(№43) р. Торкент-Пост Торкент, у южной окраины кишл.Торкент","(No. 43) the Torkent river - Post Torkent, near the southern outskirts of the Torkent village")</f>
        <v>(№43) р. Торкент-Пост Торкент, у южной окраины кишл.Торкент</v>
      </c>
      <c r="G228" s="120">
        <v>20</v>
      </c>
      <c r="H228" s="77">
        <v>3.56</v>
      </c>
      <c r="I228" s="179">
        <f>0.8*9.81*G228*H228/0.8</f>
        <v>698.47199999999998</v>
      </c>
      <c r="J228" s="77">
        <v>5.71</v>
      </c>
      <c r="K228" s="88">
        <f>0.8*9.81*G228*J228/0.8</f>
        <v>1120.3019999999999</v>
      </c>
      <c r="L228" s="26" t="str">
        <f>IF($C$1="Русский","Торкент","Torkent")</f>
        <v>Торкент</v>
      </c>
      <c r="M228" s="63">
        <v>2500</v>
      </c>
      <c r="N228" s="38">
        <v>3</v>
      </c>
      <c r="O228" s="151" t="str">
        <f>IF($C$1="Русский","существует в 3,5 км от створа","available 3,5 km from the alignment")</f>
        <v>существует в 3,5 км от створа</v>
      </c>
      <c r="P228" s="114" t="str">
        <f>IF($C$1="Русский","существует","available")</f>
        <v>существует</v>
      </c>
      <c r="Q228" s="151" t="str">
        <f>IF($C$1="Русский","существует в 3,5 км от створа","available 3,5 km from the alignment")</f>
        <v>существует в 3,5 км от створа</v>
      </c>
      <c r="R228" s="82" t="str">
        <f>IF($C$1="Русский","существует","available")</f>
        <v>существует</v>
      </c>
      <c r="S228" s="165"/>
      <c r="T228" s="116" t="str">
        <f>IF($C$1="Русский","ДЭУ, распред. ст., насосн. ст.","RMD, distr S/S, pump S/S")</f>
        <v>ДЭУ, распред. ст., насосн. ст.</v>
      </c>
      <c r="U228" s="7"/>
      <c r="V228" s="2"/>
    </row>
    <row r="229" spans="1:22" ht="15.75" customHeight="1" x14ac:dyDescent="0.2">
      <c r="A229" s="6"/>
      <c r="B229" s="122"/>
      <c r="C229" s="122"/>
      <c r="D229" s="123"/>
      <c r="E229" s="124"/>
      <c r="F229" s="128"/>
      <c r="G229" s="130"/>
      <c r="H229" s="85"/>
      <c r="I229" s="184"/>
      <c r="J229" s="85"/>
      <c r="K229" s="91"/>
      <c r="L229" s="33" t="str">
        <f>IF($C$1="Русский","Кётёрме","Kotorme")</f>
        <v>Кётёрме</v>
      </c>
      <c r="M229" s="64">
        <v>640</v>
      </c>
      <c r="N229" s="48">
        <v>8</v>
      </c>
      <c r="O229" s="130"/>
      <c r="P229" s="124"/>
      <c r="Q229" s="130"/>
      <c r="R229" s="96"/>
      <c r="S229" s="124"/>
      <c r="T229" s="128"/>
      <c r="U229" s="7"/>
      <c r="V229" s="2"/>
    </row>
    <row r="230" spans="1:22" ht="15" customHeight="1" x14ac:dyDescent="0.2">
      <c r="A230" s="6"/>
      <c r="B230" s="122"/>
      <c r="C230" s="122"/>
      <c r="D230" s="123"/>
      <c r="E230" s="124"/>
      <c r="F230" s="128"/>
      <c r="G230" s="130"/>
      <c r="H230" s="85"/>
      <c r="I230" s="184"/>
      <c r="J230" s="85"/>
      <c r="K230" s="91"/>
      <c r="L230" s="133" t="str">
        <f>IF($C$1="Русский","2 посёлка","2 villages")</f>
        <v>2 посёлка</v>
      </c>
      <c r="M230" s="219">
        <v>1810</v>
      </c>
      <c r="N230" s="136" t="str">
        <f>IF($C$1="Русский","в радиусе 10 км","within a radius of 10 km")</f>
        <v>в радиусе 10 км</v>
      </c>
      <c r="O230" s="130"/>
      <c r="P230" s="124"/>
      <c r="Q230" s="130"/>
      <c r="R230" s="96"/>
      <c r="S230" s="124"/>
      <c r="T230" s="128"/>
      <c r="U230" s="7"/>
      <c r="V230" s="2"/>
    </row>
    <row r="231" spans="1:22" ht="42" customHeight="1" x14ac:dyDescent="0.2">
      <c r="A231" s="6"/>
      <c r="B231" s="111"/>
      <c r="C231" s="111"/>
      <c r="D231" s="113"/>
      <c r="E231" s="115"/>
      <c r="F231" s="104"/>
      <c r="G231" s="121"/>
      <c r="H231" s="78"/>
      <c r="I231" s="180"/>
      <c r="J231" s="78"/>
      <c r="K231" s="89"/>
      <c r="L231" s="106"/>
      <c r="M231" s="119"/>
      <c r="N231" s="102"/>
      <c r="O231" s="121"/>
      <c r="P231" s="115"/>
      <c r="Q231" s="121"/>
      <c r="R231" s="97"/>
      <c r="S231" s="115"/>
      <c r="T231" s="104"/>
      <c r="U231" s="7"/>
      <c r="V231" s="2"/>
    </row>
    <row r="232" spans="1:22" ht="15" customHeight="1" x14ac:dyDescent="0.2">
      <c r="A232" s="6"/>
      <c r="B232" s="240">
        <v>83</v>
      </c>
      <c r="C232" s="110" t="str">
        <f>IF($C$1="Русский","Джанги-Жол","Jangi-jol")</f>
        <v>Джанги-Жол</v>
      </c>
      <c r="D232" s="112" t="s">
        <v>258</v>
      </c>
      <c r="E232" s="114" t="s">
        <v>259</v>
      </c>
      <c r="F232" s="226" t="str">
        <f>IF($C$1="Русский","(№50) р. Афлатун-с.Афлатун, в 1,5км ниже устья р.Итокар","(No. 50) the Aflatun river - Aflatun village, 1.5 km below the mouth of the Itokar river")</f>
        <v>(№50) р. Афлатун-с.Афлатун, в 1,5км ниже устья р.Итокар</v>
      </c>
      <c r="G232" s="120">
        <v>20</v>
      </c>
      <c r="H232" s="77">
        <v>5.35</v>
      </c>
      <c r="I232" s="179">
        <f>0.8*9.81*G232*H232/0.8</f>
        <v>1049.6699999999998</v>
      </c>
      <c r="J232" s="77">
        <v>5.62</v>
      </c>
      <c r="K232" s="88">
        <f>0.8*9.81*G232*J232/0.8</f>
        <v>1102.644</v>
      </c>
      <c r="L232" s="117" t="str">
        <f>IF($C$1="Русский","Джани Джол","Jany Jol")</f>
        <v>Джани Джол</v>
      </c>
      <c r="M232" s="228">
        <v>2100</v>
      </c>
      <c r="N232" s="229">
        <v>1</v>
      </c>
      <c r="O232" s="151" t="str">
        <f>IF($C$1="Русский","35 кВ в 1 км от створа","35 kV 1 km from the alignment")</f>
        <v>35 кВ в 1 км от створа</v>
      </c>
      <c r="P232" s="114" t="str">
        <f>IF($C$1="Русский","существует","available")</f>
        <v>существует</v>
      </c>
      <c r="Q232" s="117" t="str">
        <f>IF($C$1="Русский","существует","available")</f>
        <v>существует</v>
      </c>
      <c r="R232" s="118"/>
      <c r="S232" s="101"/>
      <c r="T232" s="116" t="str">
        <f>IF($C$1="Русский","ГСМ","fuel")</f>
        <v>ГСМ</v>
      </c>
      <c r="U232" s="7"/>
      <c r="V232" s="2"/>
    </row>
    <row r="233" spans="1:22" ht="15" customHeight="1" x14ac:dyDescent="0.2">
      <c r="A233" s="6"/>
      <c r="B233" s="122"/>
      <c r="C233" s="122"/>
      <c r="D233" s="123"/>
      <c r="E233" s="124"/>
      <c r="F233" s="128"/>
      <c r="G233" s="130"/>
      <c r="H233" s="85"/>
      <c r="I233" s="184"/>
      <c r="J233" s="85"/>
      <c r="K233" s="91"/>
      <c r="L233" s="167"/>
      <c r="M233" s="231"/>
      <c r="N233" s="166"/>
      <c r="O233" s="130"/>
      <c r="P233" s="124"/>
      <c r="Q233" s="125"/>
      <c r="R233" s="126"/>
      <c r="S233" s="127"/>
      <c r="T233" s="128"/>
      <c r="U233" s="7"/>
      <c r="V233" s="2"/>
    </row>
    <row r="234" spans="1:22" ht="15" customHeight="1" x14ac:dyDescent="0.2">
      <c r="A234" s="6"/>
      <c r="B234" s="122"/>
      <c r="C234" s="122"/>
      <c r="D234" s="123"/>
      <c r="E234" s="124"/>
      <c r="F234" s="128"/>
      <c r="G234" s="130"/>
      <c r="H234" s="85"/>
      <c r="I234" s="184"/>
      <c r="J234" s="85"/>
      <c r="K234" s="91"/>
      <c r="L234" s="133" t="str">
        <f>IF($C$1="Русский","8 посёлка","8 villages")</f>
        <v>8 посёлка</v>
      </c>
      <c r="M234" s="219">
        <v>3070</v>
      </c>
      <c r="N234" s="136" t="str">
        <f>IF($C$1="Русский","в радиусе 10 км","within a radius of 10 km")</f>
        <v>в радиусе 10 км</v>
      </c>
      <c r="O234" s="130"/>
      <c r="P234" s="124"/>
      <c r="Q234" s="125"/>
      <c r="R234" s="126"/>
      <c r="S234" s="127"/>
      <c r="T234" s="128"/>
      <c r="U234" s="7"/>
      <c r="V234" s="2"/>
    </row>
    <row r="235" spans="1:22" ht="26.25" customHeight="1" x14ac:dyDescent="0.2">
      <c r="A235" s="6"/>
      <c r="B235" s="111"/>
      <c r="C235" s="111"/>
      <c r="D235" s="113"/>
      <c r="E235" s="115"/>
      <c r="F235" s="104"/>
      <c r="G235" s="121"/>
      <c r="H235" s="78"/>
      <c r="I235" s="180"/>
      <c r="J235" s="78"/>
      <c r="K235" s="89"/>
      <c r="L235" s="106"/>
      <c r="M235" s="119"/>
      <c r="N235" s="102"/>
      <c r="O235" s="121"/>
      <c r="P235" s="115"/>
      <c r="Q235" s="106"/>
      <c r="R235" s="119"/>
      <c r="S235" s="102"/>
      <c r="T235" s="104"/>
      <c r="U235" s="7"/>
      <c r="V235" s="2"/>
    </row>
    <row r="236" spans="1:22" ht="15" customHeight="1" x14ac:dyDescent="0.2">
      <c r="A236" s="6"/>
      <c r="B236" s="240">
        <v>84</v>
      </c>
      <c r="C236" s="110" t="str">
        <f>IF($C$1="Русский","Кайырма","Kaiyrma")</f>
        <v>Кайырма</v>
      </c>
      <c r="D236" s="112" t="s">
        <v>260</v>
      </c>
      <c r="E236" s="114" t="s">
        <v>261</v>
      </c>
      <c r="F236" s="116" t="str">
        <f>IF($C$1="Русский","(№46) р. Узгунахмат-Устье р.Устасай","(No. 46) the Uzgunakhmat river - the mouth of the Ustasai river")</f>
        <v>(№46) р. Узгунахмат-Устье р.Устасай</v>
      </c>
      <c r="G236" s="120">
        <v>10</v>
      </c>
      <c r="H236" s="77">
        <v>6.5</v>
      </c>
      <c r="I236" s="179">
        <f>0.8*9.81*G236*H236/0.8</f>
        <v>637.65</v>
      </c>
      <c r="J236" s="77">
        <v>15.8</v>
      </c>
      <c r="K236" s="88">
        <f>0.8*9.81*G236*J236/0.8</f>
        <v>1549.98</v>
      </c>
      <c r="L236" s="26" t="str">
        <f>IF($C$1="Русский","Терек Суу","Terek Suu")</f>
        <v>Терек Суу</v>
      </c>
      <c r="M236" s="63">
        <v>2200</v>
      </c>
      <c r="N236" s="38">
        <v>1.7</v>
      </c>
      <c r="O236" s="151" t="str">
        <f>IF($C$1="Русский","существует","available")</f>
        <v>существует</v>
      </c>
      <c r="P236" s="114" t="str">
        <f>IF($C$1="Русский","существует","available")</f>
        <v>существует</v>
      </c>
      <c r="Q236" s="232"/>
      <c r="R236" s="82" t="str">
        <f>IF($C$1="Русский","существует","available")</f>
        <v>существует</v>
      </c>
      <c r="S236" s="165"/>
      <c r="T236" s="103"/>
      <c r="U236" s="7"/>
      <c r="V236" s="2"/>
    </row>
    <row r="237" spans="1:22" ht="15" customHeight="1" x14ac:dyDescent="0.2">
      <c r="A237" s="6"/>
      <c r="B237" s="122"/>
      <c r="C237" s="122"/>
      <c r="D237" s="123"/>
      <c r="E237" s="124"/>
      <c r="F237" s="128"/>
      <c r="G237" s="130"/>
      <c r="H237" s="85"/>
      <c r="I237" s="184"/>
      <c r="J237" s="85"/>
      <c r="K237" s="91"/>
      <c r="L237" s="33" t="str">
        <f>IF($C$1="Русский","Чон Арык","Chon Aryk")</f>
        <v>Чон Арык</v>
      </c>
      <c r="M237" s="64">
        <v>1500</v>
      </c>
      <c r="N237" s="48">
        <v>3</v>
      </c>
      <c r="O237" s="130"/>
      <c r="P237" s="124"/>
      <c r="Q237" s="233"/>
      <c r="R237" s="96"/>
      <c r="S237" s="124"/>
      <c r="T237" s="128"/>
      <c r="U237" s="7"/>
      <c r="V237" s="2"/>
    </row>
    <row r="238" spans="1:22" ht="15" customHeight="1" x14ac:dyDescent="0.2">
      <c r="A238" s="6"/>
      <c r="B238" s="122"/>
      <c r="C238" s="122"/>
      <c r="D238" s="123"/>
      <c r="E238" s="124"/>
      <c r="F238" s="128"/>
      <c r="G238" s="130"/>
      <c r="H238" s="85"/>
      <c r="I238" s="184"/>
      <c r="J238" s="85"/>
      <c r="K238" s="91"/>
      <c r="L238" s="133" t="str">
        <f>IF($C$1="Русский","4 посёлка","4 villages")</f>
        <v>4 посёлка</v>
      </c>
      <c r="M238" s="219">
        <v>1450</v>
      </c>
      <c r="N238" s="136" t="str">
        <f>IF($C$1="Русский","в радиусе 10 км","within a radius of 10 km")</f>
        <v>в радиусе 10 км</v>
      </c>
      <c r="O238" s="130"/>
      <c r="P238" s="124"/>
      <c r="Q238" s="233"/>
      <c r="R238" s="96"/>
      <c r="S238" s="124"/>
      <c r="T238" s="128"/>
      <c r="U238" s="7"/>
      <c r="V238" s="2"/>
    </row>
    <row r="239" spans="1:22" ht="16.5" customHeight="1" x14ac:dyDescent="0.2">
      <c r="A239" s="6"/>
      <c r="B239" s="111"/>
      <c r="C239" s="111"/>
      <c r="D239" s="113"/>
      <c r="E239" s="115"/>
      <c r="F239" s="104"/>
      <c r="G239" s="121"/>
      <c r="H239" s="78"/>
      <c r="I239" s="180"/>
      <c r="J239" s="78"/>
      <c r="K239" s="89"/>
      <c r="L239" s="106"/>
      <c r="M239" s="119"/>
      <c r="N239" s="102"/>
      <c r="O239" s="121"/>
      <c r="P239" s="115"/>
      <c r="Q239" s="234"/>
      <c r="R239" s="97"/>
      <c r="S239" s="115"/>
      <c r="T239" s="104"/>
      <c r="U239" s="7"/>
      <c r="V239" s="2"/>
    </row>
    <row r="240" spans="1:22" ht="15" customHeight="1" x14ac:dyDescent="0.2">
      <c r="A240" s="6"/>
      <c r="B240" s="240">
        <v>85</v>
      </c>
      <c r="C240" s="110" t="str">
        <f>IF($C$1="Русский","Чаткальская","Chatkalskaya")</f>
        <v>Чаткальская</v>
      </c>
      <c r="D240" s="195" t="s">
        <v>262</v>
      </c>
      <c r="E240" s="107" t="s">
        <v>263</v>
      </c>
      <c r="F240" s="116" t="str">
        <f>IF($C$1="Русский","(№102), р.Чаткал- Устье р.Терс","(No. 102) the Chatkal river - the mouth of the Ters river")</f>
        <v>(№102), р.Чаткал- Устье р.Терс</v>
      </c>
      <c r="G240" s="120">
        <v>13</v>
      </c>
      <c r="H240" s="77">
        <v>18.5</v>
      </c>
      <c r="I240" s="179">
        <f>0.8*9.81*G240*H240/0.8</f>
        <v>2359.3050000000003</v>
      </c>
      <c r="J240" s="77">
        <v>41.2</v>
      </c>
      <c r="K240" s="88">
        <f>0.8*9.81*G240*J240/0.8</f>
        <v>5254.2360000000008</v>
      </c>
      <c r="L240" s="26" t="str">
        <f>IF($C$1="Русский","Джаны-Базар","Jany Bazar")</f>
        <v>Джаны-Базар</v>
      </c>
      <c r="M240" s="63">
        <v>2000</v>
      </c>
      <c r="N240" s="38">
        <v>12</v>
      </c>
      <c r="O240" s="151" t="str">
        <f>IF($C$1="Русский","150 кВ в 8 км от створа","150 kV 8 km from the alignment")</f>
        <v>150 кВ в 8 км от створа</v>
      </c>
      <c r="P240" s="114" t="str">
        <f>IF($C$1="Русский","существует","available")</f>
        <v>существует</v>
      </c>
      <c r="Q240" s="232"/>
      <c r="R240" s="82" t="str">
        <f>IF($C$1="Русский","существует","available")</f>
        <v>существует</v>
      </c>
      <c r="S240" s="165"/>
      <c r="T240" s="116" t="str">
        <f>IF($C$1="Русский","Распределительная подстанция","Distribution substation")</f>
        <v>Распределительная подстанция</v>
      </c>
      <c r="U240" s="7"/>
      <c r="V240" s="2"/>
    </row>
    <row r="241" spans="1:22" ht="12.75" customHeight="1" x14ac:dyDescent="0.2">
      <c r="A241" s="6"/>
      <c r="B241" s="122"/>
      <c r="C241" s="122"/>
      <c r="D241" s="243"/>
      <c r="E241" s="127"/>
      <c r="F241" s="128"/>
      <c r="G241" s="130"/>
      <c r="H241" s="85"/>
      <c r="I241" s="184"/>
      <c r="J241" s="85"/>
      <c r="K241" s="91"/>
      <c r="L241" s="133" t="str">
        <f>IF($C$1="Русский","2 посёлка","2 villages")</f>
        <v>2 посёлка</v>
      </c>
      <c r="M241" s="219">
        <v>1300</v>
      </c>
      <c r="N241" s="136" t="str">
        <f>IF($C$1="Русский","в радиусе 10 км","within a radius of 10 km")</f>
        <v>в радиусе 10 км</v>
      </c>
      <c r="O241" s="130"/>
      <c r="P241" s="124"/>
      <c r="Q241" s="233"/>
      <c r="R241" s="96"/>
      <c r="S241" s="124"/>
      <c r="T241" s="128"/>
      <c r="U241" s="7"/>
      <c r="V241" s="2"/>
    </row>
    <row r="242" spans="1:22" ht="12.75" customHeight="1" x14ac:dyDescent="0.2">
      <c r="A242" s="6"/>
      <c r="B242" s="122"/>
      <c r="C242" s="122"/>
      <c r="D242" s="243"/>
      <c r="E242" s="127"/>
      <c r="F242" s="128"/>
      <c r="G242" s="130"/>
      <c r="H242" s="85"/>
      <c r="I242" s="184"/>
      <c r="J242" s="85"/>
      <c r="K242" s="91"/>
      <c r="L242" s="125"/>
      <c r="M242" s="126"/>
      <c r="N242" s="127"/>
      <c r="O242" s="130"/>
      <c r="P242" s="124"/>
      <c r="Q242" s="233"/>
      <c r="R242" s="96"/>
      <c r="S242" s="124"/>
      <c r="T242" s="128"/>
      <c r="U242" s="7"/>
      <c r="V242" s="2"/>
    </row>
    <row r="243" spans="1:22" ht="13.5" customHeight="1" x14ac:dyDescent="0.2">
      <c r="A243" s="6"/>
      <c r="B243" s="111"/>
      <c r="C243" s="111"/>
      <c r="D243" s="196"/>
      <c r="E243" s="102"/>
      <c r="F243" s="104"/>
      <c r="G243" s="121"/>
      <c r="H243" s="78"/>
      <c r="I243" s="180"/>
      <c r="J243" s="78"/>
      <c r="K243" s="89"/>
      <c r="L243" s="106"/>
      <c r="M243" s="119"/>
      <c r="N243" s="102"/>
      <c r="O243" s="121"/>
      <c r="P243" s="115"/>
      <c r="Q243" s="234"/>
      <c r="R243" s="97"/>
      <c r="S243" s="115"/>
      <c r="T243" s="104"/>
      <c r="U243" s="7"/>
      <c r="V243" s="2"/>
    </row>
    <row r="244" spans="1:22" ht="28.5" customHeight="1" x14ac:dyDescent="0.3">
      <c r="A244" s="6"/>
      <c r="B244" s="237" t="str">
        <f>IF($C$1="Русский","Таласская область","Talas region")</f>
        <v>Таласская область</v>
      </c>
      <c r="C244" s="238"/>
      <c r="D244" s="238"/>
      <c r="E244" s="238"/>
      <c r="F244" s="238"/>
      <c r="G244" s="238"/>
      <c r="H244" s="238"/>
      <c r="I244" s="238"/>
      <c r="J244" s="238"/>
      <c r="K244" s="238"/>
      <c r="L244" s="238"/>
      <c r="M244" s="238"/>
      <c r="N244" s="238"/>
      <c r="O244" s="238"/>
      <c r="P244" s="238"/>
      <c r="Q244" s="238"/>
      <c r="R244" s="238"/>
      <c r="S244" s="238"/>
      <c r="T244" s="239"/>
      <c r="U244" s="7"/>
      <c r="V244" s="2"/>
    </row>
    <row r="245" spans="1:22" ht="35.25" customHeight="1" x14ac:dyDescent="0.2">
      <c r="A245" s="6"/>
      <c r="B245" s="240">
        <v>86</v>
      </c>
      <c r="C245" s="110" t="str">
        <f>IF($C$1="Русский","Таласская","Talaskaya")</f>
        <v>Таласская</v>
      </c>
      <c r="D245" s="195" t="s">
        <v>264</v>
      </c>
      <c r="E245" s="107" t="s">
        <v>265</v>
      </c>
      <c r="F245" s="188" t="str">
        <f>IF($C$1="Русский","(№246) р. Талас-Ущелье Акташ","(No. 246) the Talas river - Aktash canyon")</f>
        <v>(№246) р. Талас-Ущелье Акташ</v>
      </c>
      <c r="G245" s="120">
        <v>16</v>
      </c>
      <c r="H245" s="77">
        <v>2.08</v>
      </c>
      <c r="I245" s="179">
        <f>0.8*9.81*G245*H245/0.8</f>
        <v>326.47679999999997</v>
      </c>
      <c r="J245" s="77">
        <v>5.0999999999999996</v>
      </c>
      <c r="K245" s="88">
        <f>0.8*9.81*G245*J245/0.8</f>
        <v>800.49599999999998</v>
      </c>
      <c r="L245" s="117" t="str">
        <f>IF($C$1="Русский","Чат-Базар","Chat-Bazar")</f>
        <v>Чат-Базар</v>
      </c>
      <c r="M245" s="168" t="s">
        <v>266</v>
      </c>
      <c r="N245" s="229">
        <v>2</v>
      </c>
      <c r="O245" s="117" t="str">
        <f>IF($C$1="Русский","35 и 110 кВ","35, 110 kV")</f>
        <v>35 и 110 кВ</v>
      </c>
      <c r="P245" s="101"/>
      <c r="Q245" s="117" t="str">
        <f>IF($C$1="Русский","существует","available")</f>
        <v>существует</v>
      </c>
      <c r="R245" s="118"/>
      <c r="S245" s="101"/>
      <c r="T245" s="140" t="str">
        <f>IF($C$1="Русский","Электрическая подстанция","Electrical substation")</f>
        <v>Электрическая подстанция</v>
      </c>
      <c r="U245" s="7"/>
      <c r="V245" s="2"/>
    </row>
    <row r="246" spans="1:22" ht="35.25" customHeight="1" x14ac:dyDescent="0.2">
      <c r="A246" s="6"/>
      <c r="B246" s="111"/>
      <c r="C246" s="111"/>
      <c r="D246" s="196"/>
      <c r="E246" s="102"/>
      <c r="F246" s="190"/>
      <c r="G246" s="121"/>
      <c r="H246" s="78"/>
      <c r="I246" s="180"/>
      <c r="J246" s="78"/>
      <c r="K246" s="89"/>
      <c r="L246" s="106"/>
      <c r="M246" s="164"/>
      <c r="N246" s="102"/>
      <c r="O246" s="125"/>
      <c r="P246" s="127"/>
      <c r="Q246" s="125"/>
      <c r="R246" s="126"/>
      <c r="S246" s="127"/>
      <c r="T246" s="141"/>
      <c r="U246" s="7"/>
      <c r="V246" s="2"/>
    </row>
    <row r="247" spans="1:22" ht="98.25" customHeight="1" x14ac:dyDescent="0.2">
      <c r="A247" s="6"/>
      <c r="B247" s="17">
        <v>87</v>
      </c>
      <c r="C247" s="43" t="str">
        <f>IF($C$1="Русский","Уч-Кошойская-1","Uch-Koshoiskaya-1")</f>
        <v>Уч-Кошойская-1</v>
      </c>
      <c r="D247" s="44" t="s">
        <v>267</v>
      </c>
      <c r="E247" s="45" t="s">
        <v>268</v>
      </c>
      <c r="F247" s="50" t="str">
        <f>IF($C$1="Русский","(№247) р.Талас - с.Караой, в 4км выше устья р.Учкошой","(No. 247) the Talas river - the Karaoy village, 4 km above the mouth of the river Uchkoshoy")</f>
        <v>(№247) р.Талас - с.Караой, в 4км выше устья р.Учкошой</v>
      </c>
      <c r="G247" s="13">
        <v>14.5</v>
      </c>
      <c r="H247" s="15">
        <v>2.16</v>
      </c>
      <c r="I247" s="69">
        <f>0.8*9.81*G247*H247/0.8</f>
        <v>307.24920000000003</v>
      </c>
      <c r="J247" s="15">
        <v>4.24</v>
      </c>
      <c r="K247" s="70">
        <f>0.8*9.81*G247*J247/0.8</f>
        <v>603.11880000000008</v>
      </c>
      <c r="L247" s="54" t="str">
        <f>IF($C$1="Русский","Кара-Ой","Kara-Oi")</f>
        <v>Кара-Ой</v>
      </c>
      <c r="M247" s="71" t="s">
        <v>67</v>
      </c>
      <c r="N247" s="14">
        <v>4</v>
      </c>
      <c r="O247" s="125"/>
      <c r="P247" s="127"/>
      <c r="Q247" s="125"/>
      <c r="R247" s="126"/>
      <c r="S247" s="127"/>
      <c r="T247" s="141"/>
      <c r="U247" s="7"/>
      <c r="V247" s="2"/>
    </row>
    <row r="248" spans="1:22" ht="37.5" customHeight="1" x14ac:dyDescent="0.2">
      <c r="A248" s="6"/>
      <c r="B248" s="240">
        <v>88</v>
      </c>
      <c r="C248" s="110" t="str">
        <f>IF($C$1="Русский","Уч-Кошойская-2","Uch-Koshoiskaya-2")</f>
        <v>Уч-Кошойская-2</v>
      </c>
      <c r="D248" s="112" t="s">
        <v>269</v>
      </c>
      <c r="E248" s="114" t="s">
        <v>270</v>
      </c>
      <c r="F248" s="188" t="str">
        <f>IF($C$1="Русский","(№256) р. Учкошой -с.Караой","(No. 256) the Uchkoshoi river - the Karaoy village")</f>
        <v>(№256) р. Учкошой -с.Караой</v>
      </c>
      <c r="G248" s="120">
        <v>9.5</v>
      </c>
      <c r="H248" s="95">
        <v>2.15</v>
      </c>
      <c r="I248" s="179">
        <f>0.8*9.81*G248*H248/0.8</f>
        <v>200.36925000000002</v>
      </c>
      <c r="J248" s="95">
        <v>4.6100000000000003</v>
      </c>
      <c r="K248" s="88">
        <f>0.8*9.81*G248*J248/0.8</f>
        <v>429.62895000000009</v>
      </c>
      <c r="L248" s="26" t="str">
        <f>IF($C$1="Русский","Сасык-Булак","Sasyk-Bulak")</f>
        <v>Сасык-Булак</v>
      </c>
      <c r="M248" s="37" t="s">
        <v>3</v>
      </c>
      <c r="N248" s="38">
        <v>2</v>
      </c>
      <c r="O248" s="125"/>
      <c r="P248" s="127"/>
      <c r="Q248" s="125"/>
      <c r="R248" s="126"/>
      <c r="S248" s="127"/>
      <c r="T248" s="141"/>
      <c r="U248" s="7"/>
      <c r="V248" s="2"/>
    </row>
    <row r="249" spans="1:22" ht="46.5" customHeight="1" x14ac:dyDescent="0.2">
      <c r="A249" s="6"/>
      <c r="B249" s="111"/>
      <c r="C249" s="111"/>
      <c r="D249" s="113"/>
      <c r="E249" s="115"/>
      <c r="F249" s="190"/>
      <c r="G249" s="121"/>
      <c r="H249" s="97"/>
      <c r="I249" s="180"/>
      <c r="J249" s="97"/>
      <c r="K249" s="89"/>
      <c r="L249" s="8" t="str">
        <f>IF($C$1="Русский","Кроме того 5 посёлков","5 more villages")</f>
        <v>Кроме того 5 посёлков</v>
      </c>
      <c r="M249" s="36" t="s">
        <v>271</v>
      </c>
      <c r="N249" s="9" t="str">
        <f>IF($C$1="Русский","в радиусе 15 км от среднего створа","within a radius of 15 km from the middle alignment")</f>
        <v>в радиусе 15 км от среднего створа</v>
      </c>
      <c r="O249" s="106"/>
      <c r="P249" s="102"/>
      <c r="Q249" s="106"/>
      <c r="R249" s="119"/>
      <c r="S249" s="102"/>
      <c r="T249" s="142"/>
      <c r="U249" s="7"/>
      <c r="V249" s="2"/>
    </row>
    <row r="250" spans="1:22" ht="15" customHeight="1" x14ac:dyDescent="0.2">
      <c r="A250" s="2"/>
      <c r="B250" s="72"/>
      <c r="C250" s="73"/>
      <c r="D250" s="73"/>
      <c r="E250" s="73"/>
      <c r="F250" s="73"/>
      <c r="G250" s="73"/>
      <c r="H250" s="73"/>
      <c r="I250" s="73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2"/>
      <c r="V250" s="2"/>
    </row>
    <row r="251" spans="1:22" ht="15" customHeight="1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3.5" customHeight="1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" customHeight="1" x14ac:dyDescent="0.2">
      <c r="A253" s="2"/>
      <c r="B253" s="2"/>
      <c r="C253" s="74"/>
      <c r="D253" s="74"/>
      <c r="E253" s="74"/>
      <c r="F253" s="74"/>
      <c r="G253" s="74"/>
      <c r="H253" s="74"/>
      <c r="I253" s="74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64.5" customHeight="1" x14ac:dyDescent="0.2">
      <c r="A254" s="2"/>
      <c r="B254" s="2"/>
      <c r="C254" s="242"/>
      <c r="D254" s="242"/>
      <c r="E254" s="242"/>
      <c r="F254" s="242"/>
      <c r="G254" s="242"/>
      <c r="H254" s="242"/>
      <c r="I254" s="242"/>
      <c r="J254" s="242"/>
      <c r="K254" s="24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" customHeight="1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3.7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3.7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4" customHeight="1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" customHeight="1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" customHeight="1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" customHeight="1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" customHeight="1" x14ac:dyDescent="0.2">
      <c r="A262" s="2"/>
      <c r="B262" s="2"/>
      <c r="C262" s="74"/>
      <c r="D262" s="74"/>
      <c r="E262" s="74"/>
      <c r="F262" s="74"/>
      <c r="G262" s="74"/>
      <c r="H262" s="74"/>
      <c r="I262" s="74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" customHeight="1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" customHeight="1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3.7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3.7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3.7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3.7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3.7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32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76"/>
      <c r="M270" s="76"/>
      <c r="N270" s="76"/>
      <c r="O270" s="76"/>
      <c r="P270" s="76"/>
      <c r="Q270" s="76"/>
      <c r="R270" s="76"/>
      <c r="S270" s="76"/>
      <c r="T270" s="75"/>
      <c r="U270" s="2"/>
      <c r="V270" s="2"/>
    </row>
  </sheetData>
  <mergeCells count="1076">
    <mergeCell ref="B176:B180"/>
    <mergeCell ref="B181:B186"/>
    <mergeCell ref="B187:B190"/>
    <mergeCell ref="B191:B194"/>
    <mergeCell ref="B163:B164"/>
    <mergeCell ref="B165:B167"/>
    <mergeCell ref="B168:B170"/>
    <mergeCell ref="B171:B174"/>
    <mergeCell ref="B196:B199"/>
    <mergeCell ref="B200:B203"/>
    <mergeCell ref="B224:B227"/>
    <mergeCell ref="B228:B231"/>
    <mergeCell ref="B204:B207"/>
    <mergeCell ref="B208:B210"/>
    <mergeCell ref="B211:B214"/>
    <mergeCell ref="B215:B217"/>
    <mergeCell ref="B248:B249"/>
    <mergeCell ref="B244:T244"/>
    <mergeCell ref="B195:T195"/>
    <mergeCell ref="B175:T175"/>
    <mergeCell ref="B232:B235"/>
    <mergeCell ref="B236:B239"/>
    <mergeCell ref="B240:B243"/>
    <mergeCell ref="B245:B246"/>
    <mergeCell ref="B218:B219"/>
    <mergeCell ref="B222:B223"/>
    <mergeCell ref="I248:I249"/>
    <mergeCell ref="K222:K223"/>
    <mergeCell ref="K215:K217"/>
    <mergeCell ref="S245:S249"/>
    <mergeCell ref="R228:R231"/>
    <mergeCell ref="K224:K227"/>
    <mergeCell ref="B116:B117"/>
    <mergeCell ref="B118:B120"/>
    <mergeCell ref="B121:B122"/>
    <mergeCell ref="B124:B125"/>
    <mergeCell ref="B88:B90"/>
    <mergeCell ref="B91:B93"/>
    <mergeCell ref="B97:B99"/>
    <mergeCell ref="B100:B102"/>
    <mergeCell ref="B103:B108"/>
    <mergeCell ref="B109:B110"/>
    <mergeCell ref="B150:B152"/>
    <mergeCell ref="B153:B158"/>
    <mergeCell ref="B159:B160"/>
    <mergeCell ref="B161:B162"/>
    <mergeCell ref="B126:B131"/>
    <mergeCell ref="B132:B137"/>
    <mergeCell ref="B139:B144"/>
    <mergeCell ref="B145:B149"/>
    <mergeCell ref="B67:B70"/>
    <mergeCell ref="B71:B72"/>
    <mergeCell ref="B73:B74"/>
    <mergeCell ref="B77:B78"/>
    <mergeCell ref="B6:T6"/>
    <mergeCell ref="B3:B4"/>
    <mergeCell ref="B49:B50"/>
    <mergeCell ref="B51:B55"/>
    <mergeCell ref="B35:B38"/>
    <mergeCell ref="B39:B43"/>
    <mergeCell ref="B79:B81"/>
    <mergeCell ref="B82:T82"/>
    <mergeCell ref="I83:I85"/>
    <mergeCell ref="I86:I87"/>
    <mergeCell ref="N83:N84"/>
    <mergeCell ref="B83:B85"/>
    <mergeCell ref="B86:B87"/>
    <mergeCell ref="H83:H85"/>
    <mergeCell ref="H86:H87"/>
    <mergeCell ref="G83:G85"/>
    <mergeCell ref="B63:B66"/>
    <mergeCell ref="B48:T48"/>
    <mergeCell ref="S49:S55"/>
    <mergeCell ref="T49:T55"/>
    <mergeCell ref="O49:O55"/>
    <mergeCell ref="I49:I55"/>
    <mergeCell ref="N49:N52"/>
    <mergeCell ref="Q49:Q55"/>
    <mergeCell ref="R49:R55"/>
    <mergeCell ref="J49:J55"/>
    <mergeCell ref="B44:B45"/>
    <mergeCell ref="B46:B47"/>
    <mergeCell ref="B8:B9"/>
    <mergeCell ref="B10:B11"/>
    <mergeCell ref="B56:B57"/>
    <mergeCell ref="B58:B62"/>
    <mergeCell ref="B18:B19"/>
    <mergeCell ref="B21:B24"/>
    <mergeCell ref="T240:T243"/>
    <mergeCell ref="N241:N243"/>
    <mergeCell ref="F240:F243"/>
    <mergeCell ref="I240:I243"/>
    <mergeCell ref="S240:S243"/>
    <mergeCell ref="P240:P243"/>
    <mergeCell ref="Q240:Q243"/>
    <mergeCell ref="R240:R243"/>
    <mergeCell ref="G240:G243"/>
    <mergeCell ref="H240:H243"/>
    <mergeCell ref="C2:T2"/>
    <mergeCell ref="G3:K3"/>
    <mergeCell ref="S12:S15"/>
    <mergeCell ref="T12:T15"/>
    <mergeCell ref="M12:M13"/>
    <mergeCell ref="S10:S11"/>
    <mergeCell ref="H10:H11"/>
    <mergeCell ref="G10:G11"/>
    <mergeCell ref="Q12:Q15"/>
    <mergeCell ref="R12:R15"/>
    <mergeCell ref="I215:I217"/>
    <mergeCell ref="I218:I219"/>
    <mergeCell ref="I236:I239"/>
    <mergeCell ref="I224:I227"/>
    <mergeCell ref="I222:I223"/>
    <mergeCell ref="K218:K219"/>
    <mergeCell ref="C254:K254"/>
    <mergeCell ref="O10:O11"/>
    <mergeCell ref="Q10:Q11"/>
    <mergeCell ref="O240:O243"/>
    <mergeCell ref="L241:L243"/>
    <mergeCell ref="M241:M243"/>
    <mergeCell ref="C240:C243"/>
    <mergeCell ref="D240:D243"/>
    <mergeCell ref="I245:I246"/>
    <mergeCell ref="E240:E243"/>
    <mergeCell ref="F191:F194"/>
    <mergeCell ref="F196:F199"/>
    <mergeCell ref="C139:C144"/>
    <mergeCell ref="D139:D144"/>
    <mergeCell ref="E139:E144"/>
    <mergeCell ref="H139:H144"/>
    <mergeCell ref="G139:G144"/>
    <mergeCell ref="C176:C180"/>
    <mergeCell ref="D176:D180"/>
    <mergeCell ref="C171:C174"/>
    <mergeCell ref="D171:D174"/>
    <mergeCell ref="E171:E174"/>
    <mergeCell ref="H245:H246"/>
    <mergeCell ref="I32:I34"/>
    <mergeCell ref="H27:H31"/>
    <mergeCell ref="H248:H249"/>
    <mergeCell ref="I228:I231"/>
    <mergeCell ref="G248:G249"/>
    <mergeCell ref="F245:F246"/>
    <mergeCell ref="F248:F249"/>
    <mergeCell ref="G245:G246"/>
    <mergeCell ref="K245:K246"/>
    <mergeCell ref="T139:T144"/>
    <mergeCell ref="I187:I190"/>
    <mergeCell ref="I196:I199"/>
    <mergeCell ref="I211:I214"/>
    <mergeCell ref="I200:I203"/>
    <mergeCell ref="S139:S144"/>
    <mergeCell ref="I171:I174"/>
    <mergeCell ref="M213:M214"/>
    <mergeCell ref="I176:I180"/>
    <mergeCell ref="C245:C246"/>
    <mergeCell ref="D245:D246"/>
    <mergeCell ref="E245:E246"/>
    <mergeCell ref="F222:F223"/>
    <mergeCell ref="C228:C231"/>
    <mergeCell ref="D228:D231"/>
    <mergeCell ref="E228:E231"/>
    <mergeCell ref="C222:C223"/>
    <mergeCell ref="D222:D223"/>
    <mergeCell ref="C236:C239"/>
    <mergeCell ref="K211:K214"/>
    <mergeCell ref="I204:I207"/>
    <mergeCell ref="L245:L246"/>
    <mergeCell ref="M245:M246"/>
    <mergeCell ref="P245:P249"/>
    <mergeCell ref="Q245:Q249"/>
    <mergeCell ref="R245:R249"/>
    <mergeCell ref="G236:G239"/>
    <mergeCell ref="O236:O239"/>
    <mergeCell ref="T245:T249"/>
    <mergeCell ref="C248:C249"/>
    <mergeCell ref="D248:D249"/>
    <mergeCell ref="E248:E249"/>
    <mergeCell ref="S191:S194"/>
    <mergeCell ref="R187:R190"/>
    <mergeCell ref="S187:S190"/>
    <mergeCell ref="Q187:Q190"/>
    <mergeCell ref="I12:I15"/>
    <mergeCell ref="H228:H231"/>
    <mergeCell ref="F228:F231"/>
    <mergeCell ref="G228:G231"/>
    <mergeCell ref="I232:I235"/>
    <mergeCell ref="L230:L231"/>
    <mergeCell ref="K228:K231"/>
    <mergeCell ref="C46:C47"/>
    <mergeCell ref="D46:D47"/>
    <mergeCell ref="E46:E47"/>
    <mergeCell ref="C49:C50"/>
    <mergeCell ref="D49:D50"/>
    <mergeCell ref="J163:J164"/>
    <mergeCell ref="F83:F87"/>
    <mergeCell ref="F88:F90"/>
    <mergeCell ref="F77:F78"/>
    <mergeCell ref="F56:F62"/>
    <mergeCell ref="F211:F214"/>
    <mergeCell ref="F208:F210"/>
    <mergeCell ref="F176:F180"/>
    <mergeCell ref="F181:F186"/>
    <mergeCell ref="F187:F190"/>
    <mergeCell ref="F200:F203"/>
    <mergeCell ref="H126:H137"/>
    <mergeCell ref="I25:I26"/>
    <mergeCell ref="H32:H34"/>
    <mergeCell ref="S25:S26"/>
    <mergeCell ref="Q32:Q34"/>
    <mergeCell ref="H176:H180"/>
    <mergeCell ref="P211:P214"/>
    <mergeCell ref="S200:S203"/>
    <mergeCell ref="I191:I194"/>
    <mergeCell ref="O32:O34"/>
    <mergeCell ref="P32:P34"/>
    <mergeCell ref="F7:F9"/>
    <mergeCell ref="K91:K93"/>
    <mergeCell ref="K126:K137"/>
    <mergeCell ref="K139:K144"/>
    <mergeCell ref="B138:T138"/>
    <mergeCell ref="B94:B96"/>
    <mergeCell ref="B111:B112"/>
    <mergeCell ref="B113:B115"/>
    <mergeCell ref="K71:K72"/>
    <mergeCell ref="F94:F96"/>
    <mergeCell ref="T211:T214"/>
    <mergeCell ref="L213:L214"/>
    <mergeCell ref="S211:S214"/>
    <mergeCell ref="Q211:Q214"/>
    <mergeCell ref="R211:R214"/>
    <mergeCell ref="P200:P203"/>
    <mergeCell ref="T10:T11"/>
    <mergeCell ref="R10:R11"/>
    <mergeCell ref="P10:P11"/>
    <mergeCell ref="I27:I31"/>
    <mergeCell ref="T25:T26"/>
    <mergeCell ref="D3:E3"/>
    <mergeCell ref="F44:F45"/>
    <mergeCell ref="F46:F47"/>
    <mergeCell ref="F12:F15"/>
    <mergeCell ref="F16:F24"/>
    <mergeCell ref="F25:F26"/>
    <mergeCell ref="F27:F31"/>
    <mergeCell ref="F32:F34"/>
    <mergeCell ref="F35:F43"/>
    <mergeCell ref="G8:G9"/>
    <mergeCell ref="H7:H9"/>
    <mergeCell ref="F3:F4"/>
    <mergeCell ref="C10:C11"/>
    <mergeCell ref="D10:D11"/>
    <mergeCell ref="E10:E11"/>
    <mergeCell ref="F10:F11"/>
    <mergeCell ref="C8:C9"/>
    <mergeCell ref="D8:D9"/>
    <mergeCell ref="E8:E9"/>
    <mergeCell ref="G12:G15"/>
    <mergeCell ref="C18:C19"/>
    <mergeCell ref="D18:D19"/>
    <mergeCell ref="E18:E19"/>
    <mergeCell ref="C21:C24"/>
    <mergeCell ref="D21:D24"/>
    <mergeCell ref="E21:E24"/>
    <mergeCell ref="G27:G31"/>
    <mergeCell ref="H25:H26"/>
    <mergeCell ref="N245:N246"/>
    <mergeCell ref="O245:O249"/>
    <mergeCell ref="C232:C235"/>
    <mergeCell ref="D232:D235"/>
    <mergeCell ref="E232:E235"/>
    <mergeCell ref="H232:H235"/>
    <mergeCell ref="F232:F235"/>
    <mergeCell ref="G232:G235"/>
    <mergeCell ref="O232:O235"/>
    <mergeCell ref="T232:T235"/>
    <mergeCell ref="M234:M235"/>
    <mergeCell ref="N234:N235"/>
    <mergeCell ref="J232:J235"/>
    <mergeCell ref="D236:D239"/>
    <mergeCell ref="E236:E239"/>
    <mergeCell ref="H236:H239"/>
    <mergeCell ref="F236:F239"/>
    <mergeCell ref="L232:L233"/>
    <mergeCell ref="K232:K235"/>
    <mergeCell ref="L234:L235"/>
    <mergeCell ref="S232:S235"/>
    <mergeCell ref="M232:M233"/>
    <mergeCell ref="N232:N233"/>
    <mergeCell ref="T236:T239"/>
    <mergeCell ref="Q236:Q239"/>
    <mergeCell ref="R236:R239"/>
    <mergeCell ref="S236:S239"/>
    <mergeCell ref="Q232:Q235"/>
    <mergeCell ref="R232:R235"/>
    <mergeCell ref="P232:P235"/>
    <mergeCell ref="P236:P239"/>
    <mergeCell ref="L238:L239"/>
    <mergeCell ref="M238:M239"/>
    <mergeCell ref="N238:N239"/>
    <mergeCell ref="R218:R223"/>
    <mergeCell ref="S218:S223"/>
    <mergeCell ref="T218:T223"/>
    <mergeCell ref="Q218:Q223"/>
    <mergeCell ref="R215:R217"/>
    <mergeCell ref="P218:P223"/>
    <mergeCell ref="C224:C227"/>
    <mergeCell ref="D224:D227"/>
    <mergeCell ref="E224:E227"/>
    <mergeCell ref="H224:H227"/>
    <mergeCell ref="F224:F227"/>
    <mergeCell ref="G224:G227"/>
    <mergeCell ref="L226:L227"/>
    <mergeCell ref="O218:O223"/>
    <mergeCell ref="P224:P227"/>
    <mergeCell ref="M230:M231"/>
    <mergeCell ref="N230:N231"/>
    <mergeCell ref="T224:T227"/>
    <mergeCell ref="O228:O231"/>
    <mergeCell ref="P228:P231"/>
    <mergeCell ref="Q228:Q231"/>
    <mergeCell ref="Q224:Q227"/>
    <mergeCell ref="R224:R227"/>
    <mergeCell ref="S224:S227"/>
    <mergeCell ref="O224:O227"/>
    <mergeCell ref="S228:S231"/>
    <mergeCell ref="T228:T231"/>
    <mergeCell ref="O215:O217"/>
    <mergeCell ref="P215:P217"/>
    <mergeCell ref="S215:S217"/>
    <mergeCell ref="N226:N227"/>
    <mergeCell ref="F215:F217"/>
    <mergeCell ref="J215:J217"/>
    <mergeCell ref="C218:C219"/>
    <mergeCell ref="D218:D219"/>
    <mergeCell ref="C215:C217"/>
    <mergeCell ref="D215:D217"/>
    <mergeCell ref="E215:E217"/>
    <mergeCell ref="H215:H217"/>
    <mergeCell ref="G215:G217"/>
    <mergeCell ref="H218:H219"/>
    <mergeCell ref="G218:G219"/>
    <mergeCell ref="E222:E223"/>
    <mergeCell ref="H222:H223"/>
    <mergeCell ref="G222:G223"/>
    <mergeCell ref="M226:M227"/>
    <mergeCell ref="F218:F219"/>
    <mergeCell ref="E218:E219"/>
    <mergeCell ref="J224:J227"/>
    <mergeCell ref="J222:J223"/>
    <mergeCell ref="T215:T217"/>
    <mergeCell ref="Q215:Q217"/>
    <mergeCell ref="C211:C214"/>
    <mergeCell ref="D211:D214"/>
    <mergeCell ref="E211:E214"/>
    <mergeCell ref="H211:H214"/>
    <mergeCell ref="G211:G214"/>
    <mergeCell ref="O211:O214"/>
    <mergeCell ref="M208:M210"/>
    <mergeCell ref="I208:I210"/>
    <mergeCell ref="C208:C210"/>
    <mergeCell ref="L216:L217"/>
    <mergeCell ref="K208:K210"/>
    <mergeCell ref="P208:P210"/>
    <mergeCell ref="L208:L210"/>
    <mergeCell ref="S208:S210"/>
    <mergeCell ref="Q208:Q210"/>
    <mergeCell ref="R208:R210"/>
    <mergeCell ref="N208:N210"/>
    <mergeCell ref="O208:O210"/>
    <mergeCell ref="N213:N214"/>
    <mergeCell ref="M216:M217"/>
    <mergeCell ref="N216:N217"/>
    <mergeCell ref="T200:T203"/>
    <mergeCell ref="R204:R207"/>
    <mergeCell ref="S204:S207"/>
    <mergeCell ref="T204:T207"/>
    <mergeCell ref="Q204:Q207"/>
    <mergeCell ref="P204:P207"/>
    <mergeCell ref="D208:D210"/>
    <mergeCell ref="E208:E210"/>
    <mergeCell ref="H208:H210"/>
    <mergeCell ref="G208:G210"/>
    <mergeCell ref="Q200:Q203"/>
    <mergeCell ref="R200:R203"/>
    <mergeCell ref="F204:F207"/>
    <mergeCell ref="N202:N203"/>
    <mergeCell ref="H204:H207"/>
    <mergeCell ref="O204:O207"/>
    <mergeCell ref="T208:T210"/>
    <mergeCell ref="G196:G199"/>
    <mergeCell ref="K196:K199"/>
    <mergeCell ref="L198:L199"/>
    <mergeCell ref="G200:G203"/>
    <mergeCell ref="O200:O203"/>
    <mergeCell ref="M206:M207"/>
    <mergeCell ref="K200:K203"/>
    <mergeCell ref="L202:L203"/>
    <mergeCell ref="M202:M203"/>
    <mergeCell ref="L206:L207"/>
    <mergeCell ref="C200:C203"/>
    <mergeCell ref="D200:D203"/>
    <mergeCell ref="E200:E203"/>
    <mergeCell ref="H200:H203"/>
    <mergeCell ref="N206:N207"/>
    <mergeCell ref="K204:K207"/>
    <mergeCell ref="G204:G207"/>
    <mergeCell ref="C204:C207"/>
    <mergeCell ref="D204:D207"/>
    <mergeCell ref="E204:E207"/>
    <mergeCell ref="C187:C190"/>
    <mergeCell ref="D187:D190"/>
    <mergeCell ref="E187:E190"/>
    <mergeCell ref="H187:H190"/>
    <mergeCell ref="G187:G190"/>
    <mergeCell ref="O187:O190"/>
    <mergeCell ref="P187:P190"/>
    <mergeCell ref="K187:K190"/>
    <mergeCell ref="T187:T190"/>
    <mergeCell ref="C191:C194"/>
    <mergeCell ref="D191:D194"/>
    <mergeCell ref="E191:E194"/>
    <mergeCell ref="H191:H194"/>
    <mergeCell ref="G191:G194"/>
    <mergeCell ref="K191:K194"/>
    <mergeCell ref="M198:M199"/>
    <mergeCell ref="N198:N199"/>
    <mergeCell ref="R196:R199"/>
    <mergeCell ref="O196:O199"/>
    <mergeCell ref="O191:O194"/>
    <mergeCell ref="Q196:Q199"/>
    <mergeCell ref="R191:R194"/>
    <mergeCell ref="P196:P199"/>
    <mergeCell ref="P191:P194"/>
    <mergeCell ref="Q191:Q194"/>
    <mergeCell ref="S196:S199"/>
    <mergeCell ref="T196:T199"/>
    <mergeCell ref="T191:T194"/>
    <mergeCell ref="C196:C199"/>
    <mergeCell ref="D196:D199"/>
    <mergeCell ref="E196:E199"/>
    <mergeCell ref="H196:H199"/>
    <mergeCell ref="C181:C186"/>
    <mergeCell ref="D181:D186"/>
    <mergeCell ref="E181:E186"/>
    <mergeCell ref="H181:H186"/>
    <mergeCell ref="G181:G186"/>
    <mergeCell ref="M166:M170"/>
    <mergeCell ref="E176:E180"/>
    <mergeCell ref="P181:P186"/>
    <mergeCell ref="I181:I186"/>
    <mergeCell ref="Q181:Q186"/>
    <mergeCell ref="R181:R186"/>
    <mergeCell ref="K181:K186"/>
    <mergeCell ref="G176:G180"/>
    <mergeCell ref="S181:S186"/>
    <mergeCell ref="O181:O186"/>
    <mergeCell ref="J181:J186"/>
    <mergeCell ref="T181:T186"/>
    <mergeCell ref="C168:C170"/>
    <mergeCell ref="D168:D170"/>
    <mergeCell ref="E168:E170"/>
    <mergeCell ref="H165:H170"/>
    <mergeCell ref="D165:D167"/>
    <mergeCell ref="E165:E167"/>
    <mergeCell ref="G165:G167"/>
    <mergeCell ref="K176:K180"/>
    <mergeCell ref="K171:K174"/>
    <mergeCell ref="I168:I170"/>
    <mergeCell ref="D163:D164"/>
    <mergeCell ref="E163:E164"/>
    <mergeCell ref="H163:H164"/>
    <mergeCell ref="G163:G164"/>
    <mergeCell ref="O163:O164"/>
    <mergeCell ref="C161:C162"/>
    <mergeCell ref="D161:D162"/>
    <mergeCell ref="E161:E162"/>
    <mergeCell ref="P171:P174"/>
    <mergeCell ref="R176:R180"/>
    <mergeCell ref="S171:S174"/>
    <mergeCell ref="H171:H174"/>
    <mergeCell ref="F171:F174"/>
    <mergeCell ref="G171:G174"/>
    <mergeCell ref="M172:M174"/>
    <mergeCell ref="N172:N174"/>
    <mergeCell ref="Q171:Q174"/>
    <mergeCell ref="O176:O180"/>
    <mergeCell ref="P176:P180"/>
    <mergeCell ref="Q176:Q180"/>
    <mergeCell ref="S176:S180"/>
    <mergeCell ref="O171:O174"/>
    <mergeCell ref="R165:R170"/>
    <mergeCell ref="S165:S170"/>
    <mergeCell ref="Q165:Q170"/>
    <mergeCell ref="R171:R174"/>
    <mergeCell ref="R161:R162"/>
    <mergeCell ref="S161:S162"/>
    <mergeCell ref="S163:S164"/>
    <mergeCell ref="L172:L174"/>
    <mergeCell ref="K168:K170"/>
    <mergeCell ref="F163:F164"/>
    <mergeCell ref="F159:F160"/>
    <mergeCell ref="I165:I167"/>
    <mergeCell ref="I159:I160"/>
    <mergeCell ref="F165:F170"/>
    <mergeCell ref="G168:G170"/>
    <mergeCell ref="H161:H162"/>
    <mergeCell ref="I163:I164"/>
    <mergeCell ref="C165:C167"/>
    <mergeCell ref="T165:T170"/>
    <mergeCell ref="G161:G162"/>
    <mergeCell ref="O161:O162"/>
    <mergeCell ref="P161:P162"/>
    <mergeCell ref="I161:I162"/>
    <mergeCell ref="R163:R164"/>
    <mergeCell ref="O165:O170"/>
    <mergeCell ref="P165:P170"/>
    <mergeCell ref="L166:L170"/>
    <mergeCell ref="P163:P164"/>
    <mergeCell ref="Q163:Q164"/>
    <mergeCell ref="F161:F162"/>
    <mergeCell ref="Q161:Q162"/>
    <mergeCell ref="K161:K162"/>
    <mergeCell ref="K163:K164"/>
    <mergeCell ref="T159:T164"/>
    <mergeCell ref="C159:C160"/>
    <mergeCell ref="D159:D160"/>
    <mergeCell ref="E159:E160"/>
    <mergeCell ref="H159:H160"/>
    <mergeCell ref="G159:G160"/>
    <mergeCell ref="R159:R160"/>
    <mergeCell ref="C163:C164"/>
    <mergeCell ref="R153:R158"/>
    <mergeCell ref="S153:S158"/>
    <mergeCell ref="C153:C158"/>
    <mergeCell ref="D153:D158"/>
    <mergeCell ref="E153:E158"/>
    <mergeCell ref="O159:O160"/>
    <mergeCell ref="P159:P160"/>
    <mergeCell ref="G153:G158"/>
    <mergeCell ref="S159:S160"/>
    <mergeCell ref="O153:O158"/>
    <mergeCell ref="P153:P158"/>
    <mergeCell ref="Q159:Q160"/>
    <mergeCell ref="K159:K160"/>
    <mergeCell ref="C145:C149"/>
    <mergeCell ref="D145:D149"/>
    <mergeCell ref="E145:E149"/>
    <mergeCell ref="F145:F149"/>
    <mergeCell ref="I153:I158"/>
    <mergeCell ref="K145:K149"/>
    <mergeCell ref="K150:K152"/>
    <mergeCell ref="O150:O152"/>
    <mergeCell ref="I145:I149"/>
    <mergeCell ref="P145:P149"/>
    <mergeCell ref="C132:C137"/>
    <mergeCell ref="D132:D137"/>
    <mergeCell ref="E132:E137"/>
    <mergeCell ref="S150:S152"/>
    <mergeCell ref="T153:T158"/>
    <mergeCell ref="T150:T152"/>
    <mergeCell ref="C150:C152"/>
    <mergeCell ref="D150:D152"/>
    <mergeCell ref="E150:E152"/>
    <mergeCell ref="H150:H152"/>
    <mergeCell ref="R150:R152"/>
    <mergeCell ref="Q153:Q158"/>
    <mergeCell ref="J150:J152"/>
    <mergeCell ref="I139:I144"/>
    <mergeCell ref="Q139:Q144"/>
    <mergeCell ref="P126:P137"/>
    <mergeCell ref="L127:L137"/>
    <mergeCell ref="J145:J149"/>
    <mergeCell ref="O145:O149"/>
    <mergeCell ref="R139:R144"/>
    <mergeCell ref="O139:O144"/>
    <mergeCell ref="P139:P144"/>
    <mergeCell ref="J139:J144"/>
    <mergeCell ref="M127:M137"/>
    <mergeCell ref="N127:N137"/>
    <mergeCell ref="F153:F158"/>
    <mergeCell ref="H153:H158"/>
    <mergeCell ref="F139:F144"/>
    <mergeCell ref="P150:P152"/>
    <mergeCell ref="F150:F152"/>
    <mergeCell ref="G150:G152"/>
    <mergeCell ref="I150:I152"/>
    <mergeCell ref="R126:R137"/>
    <mergeCell ref="R145:R149"/>
    <mergeCell ref="F126:F137"/>
    <mergeCell ref="G145:G149"/>
    <mergeCell ref="H145:H149"/>
    <mergeCell ref="C121:C122"/>
    <mergeCell ref="D121:D122"/>
    <mergeCell ref="E121:E122"/>
    <mergeCell ref="H121:H125"/>
    <mergeCell ref="C124:C125"/>
    <mergeCell ref="D124:D125"/>
    <mergeCell ref="S121:S125"/>
    <mergeCell ref="T121:T125"/>
    <mergeCell ref="G121:G125"/>
    <mergeCell ref="O121:O125"/>
    <mergeCell ref="P121:P125"/>
    <mergeCell ref="L122:L123"/>
    <mergeCell ref="M122:M123"/>
    <mergeCell ref="Q121:Q125"/>
    <mergeCell ref="I121:I125"/>
    <mergeCell ref="R121:R125"/>
    <mergeCell ref="G126:G137"/>
    <mergeCell ref="I126:I137"/>
    <mergeCell ref="N122:N123"/>
    <mergeCell ref="J121:J125"/>
    <mergeCell ref="Q126:Q137"/>
    <mergeCell ref="O126:O137"/>
    <mergeCell ref="T126:T137"/>
    <mergeCell ref="S126:S137"/>
    <mergeCell ref="C126:C131"/>
    <mergeCell ref="D126:D131"/>
    <mergeCell ref="E126:E131"/>
    <mergeCell ref="H118:H120"/>
    <mergeCell ref="F118:F120"/>
    <mergeCell ref="G118:G120"/>
    <mergeCell ref="P113:P117"/>
    <mergeCell ref="L115:L117"/>
    <mergeCell ref="M115:M117"/>
    <mergeCell ref="N115:N117"/>
    <mergeCell ref="I113:I117"/>
    <mergeCell ref="J113:J117"/>
    <mergeCell ref="O113:O117"/>
    <mergeCell ref="K113:K117"/>
    <mergeCell ref="E124:E125"/>
    <mergeCell ref="F121:F125"/>
    <mergeCell ref="O118:O120"/>
    <mergeCell ref="P118:P120"/>
    <mergeCell ref="L119:L120"/>
    <mergeCell ref="M119:M120"/>
    <mergeCell ref="N119:N120"/>
    <mergeCell ref="I118:I120"/>
    <mergeCell ref="J118:J120"/>
    <mergeCell ref="K118:K120"/>
    <mergeCell ref="T3:T4"/>
    <mergeCell ref="C3:C4"/>
    <mergeCell ref="G44:G45"/>
    <mergeCell ref="C44:C45"/>
    <mergeCell ref="D44:D45"/>
    <mergeCell ref="E44:E45"/>
    <mergeCell ref="H44:H45"/>
    <mergeCell ref="T44:T47"/>
    <mergeCell ref="P44:P47"/>
    <mergeCell ref="G25:G26"/>
    <mergeCell ref="G32:G34"/>
    <mergeCell ref="I35:I43"/>
    <mergeCell ref="G46:G47"/>
    <mergeCell ref="J161:J162"/>
    <mergeCell ref="J159:J160"/>
    <mergeCell ref="H46:H47"/>
    <mergeCell ref="I73:I74"/>
    <mergeCell ref="J88:J90"/>
    <mergeCell ref="I88:I90"/>
    <mergeCell ref="I91:I93"/>
    <mergeCell ref="L3:N3"/>
    <mergeCell ref="O3:P3"/>
    <mergeCell ref="Q3:S3"/>
    <mergeCell ref="O44:O45"/>
    <mergeCell ref="Q44:Q47"/>
    <mergeCell ref="O25:O26"/>
    <mergeCell ref="P25:P26"/>
    <mergeCell ref="Q25:Q26"/>
    <mergeCell ref="R25:R26"/>
    <mergeCell ref="R32:R34"/>
    <mergeCell ref="C113:C115"/>
    <mergeCell ref="D113:D115"/>
    <mergeCell ref="R7:R9"/>
    <mergeCell ref="S7:S9"/>
    <mergeCell ref="T7:T9"/>
    <mergeCell ref="O7:O9"/>
    <mergeCell ref="P7:P9"/>
    <mergeCell ref="S44:S47"/>
    <mergeCell ref="K153:K158"/>
    <mergeCell ref="T35:T43"/>
    <mergeCell ref="J32:J34"/>
    <mergeCell ref="O46:O47"/>
    <mergeCell ref="J103:J108"/>
    <mergeCell ref="R113:R117"/>
    <mergeCell ref="S113:S117"/>
    <mergeCell ref="T113:T117"/>
    <mergeCell ref="Q113:Q117"/>
    <mergeCell ref="J218:J219"/>
    <mergeCell ref="J208:J210"/>
    <mergeCell ref="J204:J207"/>
    <mergeCell ref="J187:J190"/>
    <mergeCell ref="J196:J199"/>
    <mergeCell ref="J211:J214"/>
    <mergeCell ref="Q118:Q120"/>
    <mergeCell ref="R118:R120"/>
    <mergeCell ref="S118:S120"/>
    <mergeCell ref="T118:T120"/>
    <mergeCell ref="Q150:Q152"/>
    <mergeCell ref="Q145:Q149"/>
    <mergeCell ref="T145:T149"/>
    <mergeCell ref="S145:S149"/>
    <mergeCell ref="T171:T174"/>
    <mergeCell ref="T176:T180"/>
    <mergeCell ref="N166:N170"/>
    <mergeCell ref="L12:L13"/>
    <mergeCell ref="L14:L15"/>
    <mergeCell ref="H16:H24"/>
    <mergeCell ref="G16:G24"/>
    <mergeCell ref="I16:I24"/>
    <mergeCell ref="K16:K24"/>
    <mergeCell ref="J16:J24"/>
    <mergeCell ref="H12:H15"/>
    <mergeCell ref="K12:K15"/>
    <mergeCell ref="Q7:Q9"/>
    <mergeCell ref="N12:N13"/>
    <mergeCell ref="O12:O15"/>
    <mergeCell ref="P12:P15"/>
    <mergeCell ref="M14:M15"/>
    <mergeCell ref="N14:N15"/>
    <mergeCell ref="N8:N9"/>
    <mergeCell ref="M8:M9"/>
    <mergeCell ref="I8:I9"/>
    <mergeCell ref="I10:I11"/>
    <mergeCell ref="T16:T24"/>
    <mergeCell ref="L17:L24"/>
    <mergeCell ref="M17:M24"/>
    <mergeCell ref="N17:N24"/>
    <mergeCell ref="P16:P24"/>
    <mergeCell ref="Q16:Q24"/>
    <mergeCell ref="R16:R24"/>
    <mergeCell ref="S16:S24"/>
    <mergeCell ref="O16:O24"/>
    <mergeCell ref="S27:S31"/>
    <mergeCell ref="O27:O31"/>
    <mergeCell ref="C39:C43"/>
    <mergeCell ref="S35:S43"/>
    <mergeCell ref="D39:D43"/>
    <mergeCell ref="E39:E43"/>
    <mergeCell ref="C35:C38"/>
    <mergeCell ref="D35:D38"/>
    <mergeCell ref="E35:E38"/>
    <mergeCell ref="H35:H43"/>
    <mergeCell ref="T27:T31"/>
    <mergeCell ref="L29:L31"/>
    <mergeCell ref="M29:M31"/>
    <mergeCell ref="N29:N31"/>
    <mergeCell ref="P27:P31"/>
    <mergeCell ref="Q27:Q31"/>
    <mergeCell ref="R27:R31"/>
    <mergeCell ref="T32:T34"/>
    <mergeCell ref="L33:L34"/>
    <mergeCell ref="M33:M34"/>
    <mergeCell ref="N33:N34"/>
    <mergeCell ref="S32:S34"/>
    <mergeCell ref="E113:E115"/>
    <mergeCell ref="H113:H117"/>
    <mergeCell ref="S56:S62"/>
    <mergeCell ref="T56:T62"/>
    <mergeCell ref="H77:H78"/>
    <mergeCell ref="T71:T74"/>
    <mergeCell ref="T83:T87"/>
    <mergeCell ref="P83:P87"/>
    <mergeCell ref="I79:I81"/>
    <mergeCell ref="K79:K81"/>
    <mergeCell ref="J79:J81"/>
    <mergeCell ref="T79:T81"/>
    <mergeCell ref="T77:T78"/>
    <mergeCell ref="S88:S90"/>
    <mergeCell ref="S91:S93"/>
    <mergeCell ref="T91:T93"/>
    <mergeCell ref="P91:P93"/>
    <mergeCell ref="C116:C117"/>
    <mergeCell ref="D116:D117"/>
    <mergeCell ref="E116:E117"/>
    <mergeCell ref="F113:F117"/>
    <mergeCell ref="G113:G117"/>
    <mergeCell ref="L36:L43"/>
    <mergeCell ref="I44:I45"/>
    <mergeCell ref="R56:R62"/>
    <mergeCell ref="J56:J62"/>
    <mergeCell ref="K56:K62"/>
    <mergeCell ref="Q56:Q62"/>
    <mergeCell ref="Q35:Q43"/>
    <mergeCell ref="R35:R43"/>
    <mergeCell ref="N36:N43"/>
    <mergeCell ref="H49:H55"/>
    <mergeCell ref="G49:G55"/>
    <mergeCell ref="L53:L55"/>
    <mergeCell ref="F49:F55"/>
    <mergeCell ref="P35:P43"/>
    <mergeCell ref="G35:G43"/>
    <mergeCell ref="I46:I47"/>
    <mergeCell ref="J44:J45"/>
    <mergeCell ref="K44:K45"/>
    <mergeCell ref="M36:M43"/>
    <mergeCell ref="O35:O43"/>
    <mergeCell ref="R44:R47"/>
    <mergeCell ref="G56:G62"/>
    <mergeCell ref="O56:O62"/>
    <mergeCell ref="P56:P62"/>
    <mergeCell ref="L57:L62"/>
    <mergeCell ref="M57:M62"/>
    <mergeCell ref="C51:C55"/>
    <mergeCell ref="C63:C66"/>
    <mergeCell ref="D63:D66"/>
    <mergeCell ref="E63:E66"/>
    <mergeCell ref="H63:H66"/>
    <mergeCell ref="F63:F66"/>
    <mergeCell ref="Q63:Q66"/>
    <mergeCell ref="D51:D55"/>
    <mergeCell ref="E51:E55"/>
    <mergeCell ref="K49:K55"/>
    <mergeCell ref="P49:P55"/>
    <mergeCell ref="M53:M55"/>
    <mergeCell ref="N53:N55"/>
    <mergeCell ref="L49:L52"/>
    <mergeCell ref="M49:M52"/>
    <mergeCell ref="E49:E50"/>
    <mergeCell ref="C56:C57"/>
    <mergeCell ref="D56:D57"/>
    <mergeCell ref="E56:E57"/>
    <mergeCell ref="H56:H62"/>
    <mergeCell ref="N57:N62"/>
    <mergeCell ref="I56:I62"/>
    <mergeCell ref="C58:C62"/>
    <mergeCell ref="D58:D62"/>
    <mergeCell ref="E58:E62"/>
    <mergeCell ref="S67:S70"/>
    <mergeCell ref="T67:T70"/>
    <mergeCell ref="G67:G70"/>
    <mergeCell ref="O67:O70"/>
    <mergeCell ref="P67:P70"/>
    <mergeCell ref="L69:L70"/>
    <mergeCell ref="M69:M70"/>
    <mergeCell ref="N69:N70"/>
    <mergeCell ref="I67:I70"/>
    <mergeCell ref="Q67:Q70"/>
    <mergeCell ref="K67:K70"/>
    <mergeCell ref="T63:T66"/>
    <mergeCell ref="G63:G66"/>
    <mergeCell ref="O63:O66"/>
    <mergeCell ref="P63:P66"/>
    <mergeCell ref="I63:I66"/>
    <mergeCell ref="J63:J66"/>
    <mergeCell ref="R67:R70"/>
    <mergeCell ref="R63:R66"/>
    <mergeCell ref="S63:S66"/>
    <mergeCell ref="N73:N74"/>
    <mergeCell ref="P71:P74"/>
    <mergeCell ref="Q71:Q74"/>
    <mergeCell ref="R71:R74"/>
    <mergeCell ref="S71:S74"/>
    <mergeCell ref="G71:G72"/>
    <mergeCell ref="G73:G74"/>
    <mergeCell ref="N71:N72"/>
    <mergeCell ref="O71:O74"/>
    <mergeCell ref="L71:L72"/>
    <mergeCell ref="M71:M72"/>
    <mergeCell ref="I71:I72"/>
    <mergeCell ref="K73:K74"/>
    <mergeCell ref="C71:C72"/>
    <mergeCell ref="D71:D72"/>
    <mergeCell ref="E71:E72"/>
    <mergeCell ref="H71:H74"/>
    <mergeCell ref="F71:F74"/>
    <mergeCell ref="Q79:Q81"/>
    <mergeCell ref="R79:R81"/>
    <mergeCell ref="S79:S81"/>
    <mergeCell ref="O79:O81"/>
    <mergeCell ref="P79:P81"/>
    <mergeCell ref="L83:L84"/>
    <mergeCell ref="Q77:Q78"/>
    <mergeCell ref="C79:C81"/>
    <mergeCell ref="D79:D81"/>
    <mergeCell ref="E79:E81"/>
    <mergeCell ref="H79:H81"/>
    <mergeCell ref="F79:F81"/>
    <mergeCell ref="G79:G81"/>
    <mergeCell ref="C77:C78"/>
    <mergeCell ref="D77:D78"/>
    <mergeCell ref="E77:E78"/>
    <mergeCell ref="R77:R78"/>
    <mergeCell ref="S77:S78"/>
    <mergeCell ref="G77:G78"/>
    <mergeCell ref="O77:O78"/>
    <mergeCell ref="P77:P78"/>
    <mergeCell ref="I77:I78"/>
    <mergeCell ref="R83:R87"/>
    <mergeCell ref="Q83:Q87"/>
    <mergeCell ref="S83:S87"/>
    <mergeCell ref="O83:O87"/>
    <mergeCell ref="N85:N87"/>
    <mergeCell ref="L8:L9"/>
    <mergeCell ref="J35:J43"/>
    <mergeCell ref="J10:J11"/>
    <mergeCell ref="J7:J9"/>
    <mergeCell ref="K8:K9"/>
    <mergeCell ref="K10:K11"/>
    <mergeCell ref="J27:J31"/>
    <mergeCell ref="J25:J26"/>
    <mergeCell ref="C86:C87"/>
    <mergeCell ref="K83:K85"/>
    <mergeCell ref="D86:D87"/>
    <mergeCell ref="E86:E87"/>
    <mergeCell ref="J86:J87"/>
    <mergeCell ref="J83:J85"/>
    <mergeCell ref="M83:M84"/>
    <mergeCell ref="L85:L87"/>
    <mergeCell ref="K86:K87"/>
    <mergeCell ref="G86:G87"/>
    <mergeCell ref="M85:M87"/>
    <mergeCell ref="C83:C85"/>
    <mergeCell ref="D83:D85"/>
    <mergeCell ref="E83:E85"/>
    <mergeCell ref="C73:C74"/>
    <mergeCell ref="D73:D74"/>
    <mergeCell ref="E73:E74"/>
    <mergeCell ref="L73:L74"/>
    <mergeCell ref="M73:M74"/>
    <mergeCell ref="C67:C70"/>
    <mergeCell ref="D67:D70"/>
    <mergeCell ref="E67:E70"/>
    <mergeCell ref="H67:H70"/>
    <mergeCell ref="F67:F70"/>
    <mergeCell ref="L92:L93"/>
    <mergeCell ref="M92:M93"/>
    <mergeCell ref="N92:N93"/>
    <mergeCell ref="Q91:Q93"/>
    <mergeCell ref="R91:R93"/>
    <mergeCell ref="T88:T90"/>
    <mergeCell ref="Q88:Q90"/>
    <mergeCell ref="P88:P90"/>
    <mergeCell ref="C91:C93"/>
    <mergeCell ref="D91:D93"/>
    <mergeCell ref="E91:E93"/>
    <mergeCell ref="H91:H93"/>
    <mergeCell ref="G91:G93"/>
    <mergeCell ref="F91:F93"/>
    <mergeCell ref="O91:O93"/>
    <mergeCell ref="R88:R90"/>
    <mergeCell ref="O88:O90"/>
    <mergeCell ref="N89:N90"/>
    <mergeCell ref="C88:C90"/>
    <mergeCell ref="D88:D90"/>
    <mergeCell ref="E88:E90"/>
    <mergeCell ref="H88:H90"/>
    <mergeCell ref="G88:G90"/>
    <mergeCell ref="M89:M90"/>
    <mergeCell ref="K88:K90"/>
    <mergeCell ref="L89:L90"/>
    <mergeCell ref="R94:R96"/>
    <mergeCell ref="S94:S96"/>
    <mergeCell ref="E97:E99"/>
    <mergeCell ref="H97:H99"/>
    <mergeCell ref="F97:F99"/>
    <mergeCell ref="Q94:Q96"/>
    <mergeCell ref="Q97:Q99"/>
    <mergeCell ref="J97:J99"/>
    <mergeCell ref="K97:K99"/>
    <mergeCell ref="S97:S99"/>
    <mergeCell ref="C94:C96"/>
    <mergeCell ref="D94:D96"/>
    <mergeCell ref="E94:E96"/>
    <mergeCell ref="H94:H96"/>
    <mergeCell ref="T94:T96"/>
    <mergeCell ref="G94:G96"/>
    <mergeCell ref="O94:O96"/>
    <mergeCell ref="P94:P96"/>
    <mergeCell ref="I94:I96"/>
    <mergeCell ref="J94:J96"/>
    <mergeCell ref="S100:S102"/>
    <mergeCell ref="T100:T102"/>
    <mergeCell ref="G100:G102"/>
    <mergeCell ref="O100:O102"/>
    <mergeCell ref="P100:P102"/>
    <mergeCell ref="I100:I102"/>
    <mergeCell ref="J100:J102"/>
    <mergeCell ref="K100:K102"/>
    <mergeCell ref="T103:T108"/>
    <mergeCell ref="C97:C99"/>
    <mergeCell ref="D97:D99"/>
    <mergeCell ref="Q100:Q102"/>
    <mergeCell ref="R100:R102"/>
    <mergeCell ref="C100:C102"/>
    <mergeCell ref="D100:D102"/>
    <mergeCell ref="E100:E102"/>
    <mergeCell ref="H100:H102"/>
    <mergeCell ref="F100:F102"/>
    <mergeCell ref="R97:R99"/>
    <mergeCell ref="T97:T99"/>
    <mergeCell ref="G97:G99"/>
    <mergeCell ref="O97:O99"/>
    <mergeCell ref="P97:P99"/>
    <mergeCell ref="L98:L99"/>
    <mergeCell ref="M98:M99"/>
    <mergeCell ref="N98:N99"/>
    <mergeCell ref="I97:I99"/>
    <mergeCell ref="M104:M108"/>
    <mergeCell ref="N104:N108"/>
    <mergeCell ref="R109:R110"/>
    <mergeCell ref="S109:S110"/>
    <mergeCell ref="T109:T110"/>
    <mergeCell ref="Q109:Q110"/>
    <mergeCell ref="Q103:Q108"/>
    <mergeCell ref="R103:R108"/>
    <mergeCell ref="S103:S108"/>
    <mergeCell ref="O103:O108"/>
    <mergeCell ref="P103:P108"/>
    <mergeCell ref="K103:K108"/>
    <mergeCell ref="C103:C108"/>
    <mergeCell ref="D103:D108"/>
    <mergeCell ref="E103:E108"/>
    <mergeCell ref="H103:H108"/>
    <mergeCell ref="F103:F108"/>
    <mergeCell ref="G103:G108"/>
    <mergeCell ref="L104:L108"/>
    <mergeCell ref="I103:I108"/>
    <mergeCell ref="S111:S112"/>
    <mergeCell ref="T111:T112"/>
    <mergeCell ref="J248:J249"/>
    <mergeCell ref="O111:O112"/>
    <mergeCell ref="P111:P112"/>
    <mergeCell ref="I111:I112"/>
    <mergeCell ref="J111:J112"/>
    <mergeCell ref="K111:K112"/>
    <mergeCell ref="J228:J231"/>
    <mergeCell ref="J200:J203"/>
    <mergeCell ref="C109:C110"/>
    <mergeCell ref="D109:D110"/>
    <mergeCell ref="E109:E110"/>
    <mergeCell ref="F109:F110"/>
    <mergeCell ref="Q111:Q112"/>
    <mergeCell ref="R111:R112"/>
    <mergeCell ref="C111:C112"/>
    <mergeCell ref="D111:D112"/>
    <mergeCell ref="E111:E112"/>
    <mergeCell ref="H111:H112"/>
    <mergeCell ref="F111:F112"/>
    <mergeCell ref="G111:G112"/>
    <mergeCell ref="G109:G110"/>
    <mergeCell ref="O109:O110"/>
    <mergeCell ref="P109:P110"/>
    <mergeCell ref="I109:I110"/>
    <mergeCell ref="J109:J110"/>
    <mergeCell ref="K109:K110"/>
    <mergeCell ref="H109:H110"/>
    <mergeCell ref="C118:C120"/>
    <mergeCell ref="D118:D120"/>
    <mergeCell ref="E118:E120"/>
    <mergeCell ref="J245:J246"/>
    <mergeCell ref="J12:J15"/>
    <mergeCell ref="J191:J194"/>
    <mergeCell ref="J153:J158"/>
    <mergeCell ref="J67:J70"/>
    <mergeCell ref="J240:J243"/>
    <mergeCell ref="J176:J180"/>
    <mergeCell ref="J171:J174"/>
    <mergeCell ref="J165:J170"/>
    <mergeCell ref="J236:J239"/>
    <mergeCell ref="K248:K249"/>
    <mergeCell ref="J71:J74"/>
    <mergeCell ref="K25:K26"/>
    <mergeCell ref="K27:K31"/>
    <mergeCell ref="K32:K34"/>
    <mergeCell ref="K35:K43"/>
    <mergeCell ref="K94:K96"/>
    <mergeCell ref="J91:J93"/>
    <mergeCell ref="K63:K66"/>
    <mergeCell ref="J46:J47"/>
    <mergeCell ref="J77:J78"/>
    <mergeCell ref="K77:K78"/>
    <mergeCell ref="K46:K47"/>
    <mergeCell ref="K165:K167"/>
    <mergeCell ref="K236:K239"/>
    <mergeCell ref="K240:K243"/>
    <mergeCell ref="J126:J137"/>
    <mergeCell ref="K121:K125"/>
  </mergeCells>
  <conditionalFormatting sqref="I10:I47 K10:K47 I139:I174 K139:K174 I196:I243 K196:K243 I245:I249 K245:K249">
    <cfRule type="cellIs" dxfId="0" priority="1" stopIfTrue="1" operator="lessThan">
      <formula>0</formula>
    </cfRule>
  </conditionalFormatting>
  <dataValidations count="1">
    <dataValidation type="list" allowBlank="1" showInputMessage="1" showErrorMessage="1" sqref="C1">
      <formula1>"Русский,English"</formula1>
    </dataValidation>
  </dataValidations>
  <pageMargins left="0.55000000000000004" right="0.21" top="0.85" bottom="1" header="0.5" footer="0.5"/>
  <pageSetup scale="54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88 створов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Абдыраева Айганыш</dc:creator>
  <cp:lastModifiedBy>Абдыраева Айганыш</cp:lastModifiedBy>
  <dcterms:created xsi:type="dcterms:W3CDTF">2023-03-10T06:07:20Z</dcterms:created>
  <dcterms:modified xsi:type="dcterms:W3CDTF">2023-03-10T06:07:20Z</dcterms:modified>
</cp:coreProperties>
</file>